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tables/table3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-15" yWindow="4230" windowWidth="15330" windowHeight="4035" tabRatio="776" firstSheet="9" activeTab="9"/>
  </bookViews>
  <sheets>
    <sheet name="Anexo I - Jan" sheetId="1" state="hidden" r:id="rId1"/>
    <sheet name="Anexo I - Fev" sheetId="2" state="hidden" r:id="rId2"/>
    <sheet name="Anexo I - Mar" sheetId="3" state="hidden" r:id="rId3"/>
    <sheet name="Anexo I - Abr" sheetId="4" state="hidden" r:id="rId4"/>
    <sheet name="Anexo I - Mai" sheetId="5" state="hidden" r:id="rId5"/>
    <sheet name="Anexo I - Jun" sheetId="6" state="hidden" r:id="rId6"/>
    <sheet name="Anexo I - Jul" sheetId="7" state="hidden" r:id="rId7"/>
    <sheet name="Anexo I - Ago" sheetId="8" state="hidden" r:id="rId8"/>
    <sheet name="Anexo I - Set" sheetId="9" state="hidden" r:id="rId9"/>
    <sheet name="Anexo I - Out" sheetId="10" r:id="rId10"/>
    <sheet name="Anexo I - Nov" sheetId="11" state="hidden" r:id="rId11"/>
    <sheet name="Anexo I - Dez" sheetId="12" state="hidden" r:id="rId12"/>
    <sheet name="Anexo I - RP" sheetId="13" state="hidden" r:id="rId13"/>
    <sheet name="Anexo II - Orcamento" sheetId="14" state="hidden" r:id="rId14"/>
    <sheet name="Despesa - Access" sheetId="15" state="hidden" r:id="rId15"/>
    <sheet name="Financeiro - Access" sheetId="16" state="hidden" r:id="rId16"/>
    <sheet name="Orcamento - Access" sheetId="17" state="hidden" r:id="rId17"/>
    <sheet name="RP - Access" sheetId="18" state="hidden" r:id="rId18"/>
    <sheet name="Arrec. Custas" sheetId="19" state="hidden" r:id="rId19"/>
    <sheet name="Decisões Judiciais" sheetId="20" state="hidden" r:id="rId20"/>
    <sheet name="Outras Receitas" sheetId="21" state="hidden" r:id="rId21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Dez'!$A$1:$C$85</definedName>
    <definedName name="_xlnm.Print_Area" localSheetId="1">'Anexo I - Fev'!$A$1:$C$86</definedName>
    <definedName name="_xlnm.Print_Area" localSheetId="0">'Anexo I - Jan'!$A$1:$C$85</definedName>
    <definedName name="_xlnm.Print_Area" localSheetId="6">'Anexo I - Jul'!$A$1:$C$85</definedName>
    <definedName name="_xlnm.Print_Area" localSheetId="5">'Anexo I - Jun'!$A$1:$C$85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Nov'!$A$1:$C$84</definedName>
    <definedName name="_xlnm.Print_Area" localSheetId="9">'Anexo I - Out'!$A$1:$C$85</definedName>
    <definedName name="_xlnm.Print_Area" localSheetId="12">'Anexo I - RP'!$A$1:$C$67</definedName>
    <definedName name="_xlnm.Print_Area" localSheetId="8">'Anexo I - Set'!$A$1:$C$85</definedName>
    <definedName name="_xlnm.Print_Area" localSheetId="13">'Anexo II - Orcamento'!$A$1:$T$22</definedName>
    <definedName name="Consulta_de_Banco_de_dados_do_MS_Access" localSheetId="14">'Despesa - Access'!#REF!</definedName>
    <definedName name="Consulta_de_Banco_de_dados_do_MS_Access" localSheetId="16">'Orcamento - Access'!$A$1:$AC$20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6">'Orcamento - Access'!#REF!</definedName>
    <definedName name="Consulta_de_Banco_de_dados_do_MS_Access_1" localSheetId="17">'RP - Access'!#REF!</definedName>
    <definedName name="Consulta_de_Banco_de_dados_do_MS_Access_2" localSheetId="14">'Despesa - Access'!#REF!</definedName>
    <definedName name="Consulta_de_Banco_de_dados_do_MS_Access_2" localSheetId="15">'Financeiro - Access'!#REF!</definedName>
    <definedName name="Consulta_de_Banco_de_dados_do_MS_Access_2" localSheetId="16">'Orcamento - Access'!#REF!</definedName>
    <definedName name="Consulta_de_Banco_de_dados_do_MS_Access_2" localSheetId="17">'RP - Access'!#REF!</definedName>
    <definedName name="Consulta_de_Banco_de_dados_do_MS_Access_3" localSheetId="14">'Despesa - Access'!#REF!</definedName>
    <definedName name="Consulta_de_Banco_de_dados_do_MS_Access_3" localSheetId="15">'Financeiro - Access'!#REF!</definedName>
    <definedName name="Consulta_de_Banco_de_dados_do_MS_Access_3" localSheetId="16">'Orcamento - Access'!#REF!</definedName>
    <definedName name="Consulta_de_Banco_de_dados_do_MS_Access_3" localSheetId="17">'RP - Access'!#REF!</definedName>
    <definedName name="Consulta_de_Banco_de_dados_do_MS_Access_4" localSheetId="16">'Orcamento - Access'!#REF!</definedName>
    <definedName name="Consulta_de_Banco_de_dados_do_MS_Access_5" localSheetId="16">'Orcamento - Access'!#REF!</definedName>
    <definedName name="Consulta_de_Banco_de_dados_do_MS_Access_6" localSheetId="16">'Orcamento - Access'!#REF!</definedName>
    <definedName name="Consulta_de_Banco_de_dados_do_MS_Access_7" localSheetId="16">'Orcamento - Access'!#REF!</definedName>
    <definedName name="Consulta_de_Banco_de_dados_MS_Access" localSheetId="17">'RP - Access'!#REF!</definedName>
    <definedName name="Consulta_de_Banco_de_dados_MS_Access_1" localSheetId="15">'Financeiro - Access'!#REF!</definedName>
    <definedName name="Despesa_SJSP___2013" localSheetId="14" hidden="1">'Despesa - Access'!$A$1:$Q$38</definedName>
    <definedName name="Repasse_SJSP___2013" localSheetId="15" hidden="1">'Financeiro - Access'!$A$1:$R$5</definedName>
    <definedName name="Restos_a_Pagar_SJSP___2013" localSheetId="17" hidden="1">'RP - Access'!$A$1:$F$38</definedName>
  </definedNames>
  <calcPr calcId="145621"/>
</workbook>
</file>

<file path=xl/calcChain.xml><?xml version="1.0" encoding="utf-8"?>
<calcChain xmlns="http://schemas.openxmlformats.org/spreadsheetml/2006/main">
  <c r="C82" i="12" l="1"/>
  <c r="C82" i="10"/>
  <c r="C70" i="13" l="1"/>
  <c r="E100" i="12" l="1"/>
  <c r="E96" i="12"/>
  <c r="F35" i="12" l="1"/>
  <c r="E17" i="12" l="1"/>
  <c r="G17" i="12" s="1"/>
  <c r="G58" i="12"/>
  <c r="G48" i="12"/>
  <c r="E96" i="11" l="1"/>
  <c r="C16" i="11" l="1"/>
  <c r="E96" i="9" l="1"/>
  <c r="E96" i="8" l="1"/>
  <c r="C99" i="1" l="1"/>
  <c r="C102" i="1" s="1"/>
  <c r="E96" i="7"/>
  <c r="C91" i="7"/>
  <c r="D48" i="7"/>
  <c r="C16" i="5" l="1"/>
  <c r="C91" i="3" l="1"/>
  <c r="D17" i="2" l="1"/>
  <c r="C90" i="1" l="1"/>
  <c r="E40" i="18" l="1"/>
  <c r="C91" i="12"/>
  <c r="P40" i="15" l="1"/>
  <c r="P44" i="15" s="1"/>
  <c r="K91" i="12" l="1"/>
  <c r="K93" i="12" s="1"/>
  <c r="K95" i="12" l="1"/>
  <c r="K97" i="12" s="1"/>
  <c r="E24" i="16" l="1"/>
  <c r="L18" i="16"/>
  <c r="K18" i="16"/>
  <c r="J18" i="16"/>
  <c r="I18" i="16"/>
  <c r="H18" i="16"/>
  <c r="G18" i="16"/>
  <c r="F18" i="16"/>
  <c r="E18" i="16"/>
  <c r="D91" i="12" l="1"/>
  <c r="E91" i="12" s="1"/>
  <c r="D92" i="12"/>
  <c r="E92" i="12" s="1"/>
  <c r="D90" i="12"/>
  <c r="E90" i="12" s="1"/>
  <c r="E93" i="12" l="1"/>
  <c r="F96" i="11"/>
  <c r="D91" i="11"/>
  <c r="D92" i="11"/>
  <c r="E92" i="11" s="1"/>
  <c r="D90" i="11"/>
  <c r="E90" i="11" s="1"/>
  <c r="E91" i="11" l="1"/>
  <c r="E93" i="11" s="1"/>
  <c r="D91" i="9" l="1"/>
  <c r="E91" i="9" s="1"/>
  <c r="F96" i="9"/>
  <c r="D92" i="9"/>
  <c r="E92" i="9" s="1"/>
  <c r="D90" i="9"/>
  <c r="E90" i="9" s="1"/>
  <c r="E93" i="9" l="1"/>
  <c r="F96" i="8" l="1"/>
  <c r="D91" i="8"/>
  <c r="E91" i="8" s="1"/>
  <c r="D92" i="8"/>
  <c r="E92" i="8" s="1"/>
  <c r="D90" i="8"/>
  <c r="E90" i="8" s="1"/>
  <c r="E93" i="8" l="1"/>
  <c r="D91" i="7" l="1"/>
  <c r="E91" i="7" s="1"/>
  <c r="D90" i="7"/>
  <c r="F96" i="7"/>
  <c r="D92" i="7"/>
  <c r="E92" i="7" s="1"/>
  <c r="E90" i="7"/>
  <c r="E93" i="7" l="1"/>
  <c r="D91" i="6"/>
  <c r="E91" i="6" s="1"/>
  <c r="D92" i="6"/>
  <c r="E92" i="6" s="1"/>
  <c r="D90" i="6"/>
  <c r="E90" i="6" s="1"/>
  <c r="E93" i="6" l="1"/>
  <c r="D91" i="5"/>
  <c r="E91" i="5" s="1"/>
  <c r="D92" i="5"/>
  <c r="E92" i="5" s="1"/>
  <c r="D90" i="5"/>
  <c r="E90" i="5" s="1"/>
  <c r="E93" i="5" l="1"/>
  <c r="D91" i="4"/>
  <c r="E91" i="4" s="1"/>
  <c r="D92" i="4"/>
  <c r="E92" i="4" s="1"/>
  <c r="D90" i="4"/>
  <c r="E90" i="4" s="1"/>
  <c r="E93" i="4" l="1"/>
  <c r="D91" i="3"/>
  <c r="E91" i="3" s="1"/>
  <c r="D92" i="3"/>
  <c r="E92" i="3" s="1"/>
  <c r="D90" i="3"/>
  <c r="E90" i="3" s="1"/>
  <c r="E93" i="3" l="1"/>
  <c r="C16" i="2"/>
  <c r="C64" i="13" l="1"/>
  <c r="C63" i="13"/>
  <c r="C54" i="13"/>
  <c r="C55" i="13"/>
  <c r="C56" i="13"/>
  <c r="C57" i="13"/>
  <c r="C53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22" i="13"/>
  <c r="C14" i="13"/>
  <c r="C15" i="13"/>
  <c r="C16" i="13"/>
  <c r="P7" i="16" l="1"/>
  <c r="O7" i="16"/>
  <c r="N7" i="16"/>
  <c r="M7" i="16"/>
  <c r="L7" i="16"/>
  <c r="K7" i="16"/>
  <c r="J7" i="16"/>
  <c r="I7" i="16"/>
  <c r="H7" i="16"/>
  <c r="G7" i="16"/>
  <c r="G29" i="16" s="1"/>
  <c r="F7" i="16"/>
  <c r="F29" i="16" s="1"/>
  <c r="E7" i="16"/>
  <c r="E29" i="16" s="1"/>
  <c r="Q7" i="16" l="1"/>
  <c r="C48" i="13" l="1"/>
  <c r="C13" i="13"/>
  <c r="C17" i="13" l="1"/>
  <c r="C58" i="13"/>
  <c r="C71" i="12"/>
  <c r="C72" i="12"/>
  <c r="C73" i="12"/>
  <c r="C70" i="12"/>
  <c r="C64" i="12"/>
  <c r="C63" i="12"/>
  <c r="C54" i="12"/>
  <c r="C55" i="12"/>
  <c r="C56" i="12"/>
  <c r="C57" i="12"/>
  <c r="C53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22" i="12"/>
  <c r="C14" i="12"/>
  <c r="C15" i="12"/>
  <c r="C13" i="12"/>
  <c r="C71" i="11"/>
  <c r="C72" i="11"/>
  <c r="C73" i="11"/>
  <c r="C70" i="11"/>
  <c r="C17" i="12" l="1"/>
  <c r="H17" i="12" s="1"/>
  <c r="C64" i="11"/>
  <c r="C63" i="11"/>
  <c r="C54" i="11"/>
  <c r="C55" i="11"/>
  <c r="C56" i="11"/>
  <c r="C57" i="11"/>
  <c r="C53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22" i="11"/>
  <c r="C14" i="11"/>
  <c r="C15" i="11"/>
  <c r="C13" i="11"/>
  <c r="C48" i="11" l="1"/>
  <c r="C13" i="10"/>
  <c r="N40" i="15" l="1"/>
  <c r="C73" i="10" l="1"/>
  <c r="C72" i="10"/>
  <c r="C71" i="10"/>
  <c r="C70" i="10"/>
  <c r="C64" i="10"/>
  <c r="C63" i="10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15" i="10"/>
  <c r="C14" i="10"/>
  <c r="C17" i="10" l="1"/>
  <c r="C48" i="10"/>
  <c r="C74" i="10"/>
  <c r="C58" i="10"/>
  <c r="C65" i="10"/>
  <c r="C73" i="9"/>
  <c r="C71" i="9"/>
  <c r="C72" i="9"/>
  <c r="C70" i="9"/>
  <c r="C64" i="9"/>
  <c r="C63" i="9"/>
  <c r="C54" i="9"/>
  <c r="C55" i="9"/>
  <c r="C56" i="9"/>
  <c r="C57" i="9"/>
  <c r="C53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22" i="9"/>
  <c r="C14" i="9"/>
  <c r="C15" i="9"/>
  <c r="C13" i="9"/>
  <c r="C83" i="9"/>
  <c r="C17" i="9" l="1"/>
  <c r="C65" i="9"/>
  <c r="C58" i="9"/>
  <c r="E58" i="9" s="1"/>
  <c r="C74" i="9"/>
  <c r="E74" i="9" s="1"/>
  <c r="C48" i="9"/>
  <c r="E48" i="9" s="1"/>
  <c r="C22" i="8"/>
  <c r="C14" i="8"/>
  <c r="C15" i="8"/>
  <c r="C13" i="8"/>
  <c r="E17" i="9" l="1"/>
  <c r="E94" i="9"/>
  <c r="C17" i="8"/>
  <c r="E17" i="8" s="1"/>
  <c r="C71" i="8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E98" i="9" l="1"/>
  <c r="E97" i="9"/>
  <c r="F93" i="9"/>
  <c r="C71" i="7"/>
  <c r="C72" i="7"/>
  <c r="C73" i="7"/>
  <c r="C70" i="7"/>
  <c r="C64" i="7"/>
  <c r="C63" i="7"/>
  <c r="C57" i="7"/>
  <c r="C54" i="7"/>
  <c r="C55" i="7"/>
  <c r="C56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l="1"/>
  <c r="E17" i="7" s="1"/>
  <c r="C71" i="6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5"/>
  <c r="C72" i="5"/>
  <c r="C73" i="5"/>
  <c r="C70" i="5"/>
  <c r="C64" i="5"/>
  <c r="C63" i="5"/>
  <c r="C54" i="5"/>
  <c r="C55" i="5"/>
  <c r="C56" i="5"/>
  <c r="C57" i="5"/>
  <c r="C53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22" i="5"/>
  <c r="C14" i="5"/>
  <c r="C15" i="5"/>
  <c r="C13" i="5"/>
  <c r="C71" i="4"/>
  <c r="C72" i="4"/>
  <c r="C73" i="4"/>
  <c r="C70" i="4"/>
  <c r="C64" i="4"/>
  <c r="C63" i="4"/>
  <c r="C54" i="4"/>
  <c r="C55" i="4"/>
  <c r="C56" i="4"/>
  <c r="C57" i="4"/>
  <c r="C53" i="4"/>
  <c r="C41" i="4"/>
  <c r="C42" i="4"/>
  <c r="C43" i="4"/>
  <c r="C44" i="4"/>
  <c r="C45" i="4"/>
  <c r="C46" i="4"/>
  <c r="C47" i="4"/>
  <c r="C33" i="4"/>
  <c r="C34" i="4"/>
  <c r="C35" i="4"/>
  <c r="C36" i="4"/>
  <c r="C37" i="4"/>
  <c r="C38" i="4"/>
  <c r="C39" i="4"/>
  <c r="C40" i="4"/>
  <c r="C23" i="4"/>
  <c r="C24" i="4"/>
  <c r="C25" i="4"/>
  <c r="C26" i="4"/>
  <c r="C27" i="4"/>
  <c r="C28" i="4"/>
  <c r="C29" i="4"/>
  <c r="C30" i="4"/>
  <c r="C31" i="4"/>
  <c r="C32" i="4"/>
  <c r="C22" i="4"/>
  <c r="C14" i="4"/>
  <c r="C15" i="4"/>
  <c r="C13" i="4"/>
  <c r="C71" i="3"/>
  <c r="C72" i="3"/>
  <c r="C73" i="3"/>
  <c r="C70" i="3"/>
  <c r="C64" i="3"/>
  <c r="C63" i="3"/>
  <c r="C54" i="3"/>
  <c r="C55" i="3"/>
  <c r="C56" i="3"/>
  <c r="C57" i="3"/>
  <c r="C5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3" i="3"/>
  <c r="C24" i="3"/>
  <c r="C25" i="3"/>
  <c r="C26" i="3"/>
  <c r="C27" i="3"/>
  <c r="C28" i="3"/>
  <c r="C29" i="3"/>
  <c r="C30" i="3"/>
  <c r="C31" i="3"/>
  <c r="C32" i="3"/>
  <c r="C33" i="3"/>
  <c r="C22" i="3"/>
  <c r="C14" i="3"/>
  <c r="C15" i="3"/>
  <c r="C13" i="3"/>
  <c r="C71" i="2"/>
  <c r="E71" i="2" s="1"/>
  <c r="C72" i="2"/>
  <c r="C73" i="2"/>
  <c r="C70" i="2"/>
  <c r="E70" i="2" s="1"/>
  <c r="C64" i="2"/>
  <c r="C63" i="2"/>
  <c r="C54" i="2"/>
  <c r="C55" i="2"/>
  <c r="C56" i="2"/>
  <c r="C57" i="2"/>
  <c r="C53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22" i="2"/>
  <c r="C14" i="2"/>
  <c r="C15" i="2"/>
  <c r="C13" i="2"/>
  <c r="C71" i="1"/>
  <c r="C72" i="1"/>
  <c r="C73" i="1"/>
  <c r="C70" i="1"/>
  <c r="C64" i="1"/>
  <c r="C63" i="1"/>
  <c r="C54" i="1"/>
  <c r="C55" i="1"/>
  <c r="C56" i="1"/>
  <c r="C57" i="1"/>
  <c r="C5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4" i="1"/>
  <c r="C15" i="1"/>
  <c r="C13" i="1"/>
  <c r="C48" i="2" l="1"/>
  <c r="D49" i="2" s="1"/>
  <c r="C17" i="2"/>
  <c r="D18" i="2" s="1"/>
  <c r="C65" i="1"/>
  <c r="C48" i="1"/>
  <c r="E48" i="1" s="1"/>
  <c r="C17" i="1"/>
  <c r="E17" i="1" s="1"/>
  <c r="F17" i="1" s="1"/>
  <c r="C17" i="4"/>
  <c r="E17" i="4" s="1"/>
  <c r="C48" i="4"/>
  <c r="E48" i="4" s="1"/>
  <c r="C58" i="4"/>
  <c r="C65" i="4"/>
  <c r="C74" i="4"/>
  <c r="C83" i="4"/>
  <c r="C58" i="8"/>
  <c r="E58" i="8" s="1"/>
  <c r="C48" i="8"/>
  <c r="E48" i="8" s="1"/>
  <c r="C74" i="8"/>
  <c r="C65" i="8"/>
  <c r="C83" i="8"/>
  <c r="C58" i="12"/>
  <c r="H58" i="12" s="1"/>
  <c r="C48" i="12"/>
  <c r="H48" i="12" s="1"/>
  <c r="C65" i="12"/>
  <c r="G65" i="12" s="1"/>
  <c r="C74" i="12"/>
  <c r="C83" i="12"/>
  <c r="D90" i="2"/>
  <c r="E90" i="2" s="1"/>
  <c r="D91" i="2"/>
  <c r="E91" i="2" s="1"/>
  <c r="D92" i="2"/>
  <c r="E92" i="2" s="1"/>
  <c r="C74" i="2"/>
  <c r="C58" i="2"/>
  <c r="C65" i="2"/>
  <c r="C83" i="2"/>
  <c r="C92" i="1"/>
  <c r="C58" i="1"/>
  <c r="C115" i="1"/>
  <c r="B15" i="21"/>
  <c r="D15" i="21"/>
  <c r="C114" i="1"/>
  <c r="F15" i="21"/>
  <c r="H15" i="21"/>
  <c r="C43" i="19"/>
  <c r="F43" i="19"/>
  <c r="C108" i="1"/>
  <c r="C109" i="1"/>
  <c r="C83" i="1"/>
  <c r="C74" i="5"/>
  <c r="C74" i="7"/>
  <c r="C48" i="7"/>
  <c r="E48" i="7" s="1"/>
  <c r="C58" i="7"/>
  <c r="E58" i="7" s="1"/>
  <c r="C65" i="7"/>
  <c r="C83" i="7"/>
  <c r="C17" i="6"/>
  <c r="E17" i="6" s="1"/>
  <c r="C48" i="6"/>
  <c r="E48" i="6" s="1"/>
  <c r="C58" i="6"/>
  <c r="E58" i="6" s="1"/>
  <c r="C65" i="6"/>
  <c r="C83" i="6"/>
  <c r="C17" i="5"/>
  <c r="E17" i="5" s="1"/>
  <c r="C48" i="5"/>
  <c r="E48" i="5" s="1"/>
  <c r="C58" i="5"/>
  <c r="C65" i="5"/>
  <c r="C83" i="5"/>
  <c r="C17" i="3"/>
  <c r="E17" i="3" s="1"/>
  <c r="C48" i="3"/>
  <c r="E48" i="3" s="1"/>
  <c r="C58" i="3"/>
  <c r="C65" i="3"/>
  <c r="C83" i="3"/>
  <c r="C17" i="11"/>
  <c r="C58" i="11"/>
  <c r="C65" i="11"/>
  <c r="C83" i="11"/>
  <c r="C83" i="10"/>
  <c r="C65" i="13"/>
  <c r="C71" i="13" s="1"/>
  <c r="D71" i="13" s="1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C44" i="14"/>
  <c r="D44" i="14"/>
  <c r="T22" i="14"/>
  <c r="S22" i="14"/>
  <c r="R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S21" i="14"/>
  <c r="R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S20" i="14"/>
  <c r="R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S19" i="14"/>
  <c r="R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S18" i="14"/>
  <c r="R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S17" i="14"/>
  <c r="R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S16" i="14"/>
  <c r="R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S15" i="14"/>
  <c r="R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S14" i="14"/>
  <c r="R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S13" i="14"/>
  <c r="R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S12" i="14"/>
  <c r="R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S11" i="14"/>
  <c r="R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S10" i="14"/>
  <c r="R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S9" i="14"/>
  <c r="R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S8" i="14"/>
  <c r="R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S7" i="14"/>
  <c r="R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S6" i="14"/>
  <c r="R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S5" i="14"/>
  <c r="R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S4" i="14"/>
  <c r="R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S24" i="14"/>
  <c r="Q24" i="14"/>
  <c r="O24" i="14"/>
  <c r="N24" i="14"/>
  <c r="M24" i="14"/>
  <c r="L24" i="14"/>
  <c r="K24" i="14"/>
  <c r="J24" i="14"/>
  <c r="I24" i="14"/>
  <c r="H24" i="14"/>
  <c r="G24" i="14"/>
  <c r="C38" i="14"/>
  <c r="C37" i="14"/>
  <c r="C30" i="14"/>
  <c r="C52" i="14"/>
  <c r="C31" i="14"/>
  <c r="C51" i="14"/>
  <c r="G18" i="19"/>
  <c r="G20" i="19"/>
  <c r="G22" i="19"/>
  <c r="G24" i="19"/>
  <c r="G26" i="19"/>
  <c r="G28" i="19"/>
  <c r="G30" i="19"/>
  <c r="G32" i="19"/>
  <c r="G43" i="19"/>
  <c r="G34" i="19"/>
  <c r="G36" i="19"/>
  <c r="G38" i="19"/>
  <c r="G40" i="19"/>
  <c r="E43" i="19"/>
  <c r="D18" i="19"/>
  <c r="D20" i="19"/>
  <c r="D22" i="19"/>
  <c r="D24" i="19"/>
  <c r="D26" i="19"/>
  <c r="D28" i="19"/>
  <c r="D30" i="19"/>
  <c r="D32" i="19"/>
  <c r="D34" i="19"/>
  <c r="D36" i="19"/>
  <c r="D43" i="19"/>
  <c r="D38" i="19"/>
  <c r="D40" i="19"/>
  <c r="B43" i="19"/>
  <c r="B19" i="21"/>
  <c r="C74" i="11"/>
  <c r="C74" i="6"/>
  <c r="E94" i="12" l="1"/>
  <c r="E99" i="12" s="1"/>
  <c r="E101" i="12" s="1"/>
  <c r="E94" i="11"/>
  <c r="E98" i="11" s="1"/>
  <c r="E94" i="8"/>
  <c r="E94" i="6"/>
  <c r="E97" i="6" s="1"/>
  <c r="E94" i="7"/>
  <c r="F93" i="7" s="1"/>
  <c r="E94" i="5"/>
  <c r="E98" i="5" s="1"/>
  <c r="E94" i="4"/>
  <c r="E94" i="3"/>
  <c r="E93" i="2"/>
  <c r="F96" i="6"/>
  <c r="C74" i="3"/>
  <c r="C74" i="1"/>
  <c r="E94" i="2"/>
  <c r="E98" i="2" s="1"/>
  <c r="C93" i="1"/>
  <c r="C95" i="1" s="1"/>
  <c r="C103" i="1" l="1"/>
  <c r="C104" i="1" s="1"/>
  <c r="E97" i="12"/>
  <c r="E97" i="11"/>
  <c r="F93" i="11"/>
  <c r="E97" i="8"/>
  <c r="E98" i="8"/>
  <c r="F93" i="8"/>
  <c r="E98" i="6"/>
  <c r="E97" i="5"/>
  <c r="E98" i="7"/>
  <c r="E97" i="7"/>
  <c r="E98" i="4"/>
  <c r="E97" i="4"/>
  <c r="E98" i="3"/>
  <c r="E97" i="3"/>
  <c r="E97" i="2"/>
</calcChain>
</file>

<file path=xl/comments1.xml><?xml version="1.0" encoding="utf-8"?>
<comments xmlns="http://schemas.openxmlformats.org/spreadsheetml/2006/main">
  <authors>
    <author>TRF</author>
  </authors>
  <commentList>
    <comment ref="D44" authorId="0">
      <text>
        <r>
          <rPr>
            <sz val="8"/>
            <color indexed="81"/>
            <rFont val="Tahoma"/>
            <family val="2"/>
          </rPr>
          <t xml:space="preserve">diferença referente lançamentos   de (+2.253,00 e - 304,62) = 1.948,38 , efetuados no dia 05/01 com data retroativa, NL1435 e 1434 e NS8423 e ns8422 após celulas de 04/01/2011
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7\UG 090017 - SJSP\Despesa SJSP - 2017.mdb" keepAlive="1" name="Despesa SJSP - 2017" type="5" refreshedVersion="4" background="1" saveData="1">
    <dbPr connection="Provider=Microsoft.ACE.OLEDB.12.0;User ID=Admin;Data Source=S:\TRF3-SOFI\UPLA\Sistema UPLA\Transparência\Ano de 2017\UG 090017 - SJSP\Despesa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17 - SJSP\Repasse SJSP - 2017.mdb" keepAlive="1" name="Repasse SJSP - 2017" type="5" refreshedVersion="4" background="1" saveData="1">
    <dbPr connection="Provider=Microsoft.ACE.OLEDB.12.0;User ID=Admin;Data Source=S:\TRF3-SOFI\UPLA\Sistema UPLA\Transparência\Ano de 2017\UG 090017 - SJSP\Repasse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4" sourceFile="S:\TRF3-SOFI\UPLA\Sistema UPLA\Transparência\Ano de 2016\UG 090017 - SJSP\Restos a Pagar SJSP - 2016.mdb" keepAlive="1" name="Restos a Pagar SJSP - 2016" type="5" refreshedVersion="4" background="1" saveData="1">
    <dbPr connection="Provider=Microsoft.ACE.OLEDB.12.0;User ID=Admin;Data Source=S:\TRF3-SOFI\UPLA\Sistema UPLA\Transparência\Ano de 2017\UG 090017 - SJSP\Restos a Pagar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<sst xmlns="http://schemas.openxmlformats.org/spreadsheetml/2006/main" count="2556" uniqueCount="404">
  <si>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</si>
  <si>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</si>
  <si>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</si>
  <si>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</si>
  <si>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</si>
  <si>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</si>
  <si>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</si>
  <si>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</si>
  <si>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</si>
  <si>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</si>
  <si>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</si>
  <si>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</si>
  <si>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</si>
  <si>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</si>
  <si>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</si>
  <si>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</si>
  <si>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</si>
  <si>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</si>
  <si>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</si>
  <si>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</si>
  <si>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</si>
  <si>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</si>
  <si>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</si>
  <si>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</si>
  <si>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</si>
  <si>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</si>
  <si>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</si>
  <si>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</si>
  <si>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</si>
  <si>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</si>
  <si>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</si>
  <si>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</si>
  <si>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</si>
  <si>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</si>
  <si>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</si>
  <si>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</si>
  <si>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</si>
  <si>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</si>
  <si>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</si>
  <si>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</si>
  <si>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</si>
  <si>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</si>
  <si>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</si>
  <si>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</si>
  <si>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</si>
  <si>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</si>
  <si>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</si>
  <si>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</si>
  <si>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</si>
  <si>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</si>
  <si>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</si>
  <si>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</si>
  <si>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</si>
  <si>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</si>
  <si>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</si>
  <si>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</si>
  <si>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</si>
  <si>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</si>
  <si>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</si>
  <si>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</si>
  <si>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</si>
  <si>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</si>
  <si>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</si>
  <si>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</si>
  <si>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</si>
  <si>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</si>
  <si>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</si>
  <si>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</si>
  <si>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</si>
  <si>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</si>
  <si>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</si>
  <si>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</si>
  <si>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</si>
  <si>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</si>
  <si>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</si>
  <si>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</si>
  <si>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</si>
  <si>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</si>
  <si>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</si>
  <si>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</si>
  <si>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</si>
  <si>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</si>
  <si>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</si>
  <si>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</si>
  <si>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</si>
  <si>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</si>
  <si>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</si>
  <si>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</si>
  <si>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</si>
  <si>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</si>
  <si>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</si>
  <si>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</si>
  <si>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</si>
  <si>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</si>
  <si>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</si>
  <si>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</si>
  <si>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</si>
  <si>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</si>
  <si>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</si>
  <si>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</si>
  <si>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</si>
  <si>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</si>
  <si>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</si>
  <si>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</si>
  <si>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</si>
  <si>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</si>
  <si>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</si>
  <si>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</si>
  <si>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</si>
  <si>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</si>
  <si>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</si>
  <si>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</si>
  <si>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</si>
  <si>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>VALOR EMPENHADO</t>
  </si>
  <si>
    <t>EMPENHADO LIQUIDADO</t>
  </si>
  <si>
    <t>VALOR PAGO</t>
  </si>
  <si>
    <t>192220100 - PROVISAO RECEBIDA</t>
  </si>
  <si>
    <t>JANEIRO</t>
  </si>
  <si>
    <t>MARÇO</t>
  </si>
  <si>
    <t>ABRIL</t>
  </si>
  <si>
    <t>MAIO</t>
  </si>
  <si>
    <t>JUNHO</t>
  </si>
  <si>
    <t>292130301 - CREDITO PAGO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</si>
  <si>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</si>
  <si>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</si>
  <si>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>292130202 - CREDITO EMPENHADO LIQUIDADO - DOCUMENTO FOLHA</t>
  </si>
  <si>
    <t>2010</t>
  </si>
  <si>
    <t>CELULAS SIAFI = A LIQUIDAR + LIQUIDADO</t>
  </si>
  <si>
    <t>CELULAS SIAFI = LIQUIDADO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</si>
  <si>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</si>
  <si>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</si>
  <si>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</si>
  <si>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</si>
  <si>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</si>
  <si>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</si>
  <si>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</si>
  <si>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</si>
  <si>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</si>
  <si>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</si>
  <si>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</si>
  <si>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</si>
  <si>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</si>
  <si>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</si>
  <si>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</si>
  <si>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VERIFICAÇÃO OUTRAS RECEITA</t>
  </si>
  <si>
    <t>Grupo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</si>
  <si>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</si>
  <si>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</si>
  <si>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</si>
  <si>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</si>
  <si>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</si>
  <si>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</si>
  <si>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</si>
  <si>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PERÍODO: JANEIRO A DEZEMBRO DE 2010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</si>
  <si>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</si>
  <si>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</si>
  <si>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</si>
  <si>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</si>
  <si>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</si>
  <si>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</si>
  <si>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</si>
  <si>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FEVEREIRO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</si>
  <si>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</si>
  <si>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</si>
  <si>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</si>
  <si>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</si>
  <si>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</si>
  <si>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</si>
  <si>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</si>
  <si>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</si>
  <si>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</si>
  <si>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TipoDespesa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</si>
  <si>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</si>
  <si>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</si>
  <si>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</si>
  <si>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</si>
  <si>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</si>
  <si>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</si>
  <si>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</si>
  <si>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</si>
  <si>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</si>
  <si>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</si>
  <si>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VERIFICAÇÃO ARRECADAÇÃO DE CUSTAS</t>
  </si>
  <si>
    <t>TOTAL - ESTATÍSTICA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</si>
  <si>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</si>
  <si>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</si>
  <si>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</si>
  <si>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</si>
  <si>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</si>
  <si>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</si>
  <si>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</si>
  <si>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</si>
  <si>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</si>
  <si>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EmpenhadoNe</t>
  </si>
  <si>
    <t>EmpenhadoCrePag</t>
  </si>
  <si>
    <t>EmpenhadoLiqFol</t>
  </si>
  <si>
    <t>PorEmpenhado</t>
  </si>
  <si>
    <t>LiquidadoNe</t>
  </si>
  <si>
    <t>LiquidadoCrePag</t>
  </si>
  <si>
    <t>LiquidadoLiqFol</t>
  </si>
  <si>
    <t>PorLiquidado</t>
  </si>
  <si>
    <t>PagoNe</t>
  </si>
  <si>
    <t>PagoCrePag</t>
  </si>
  <si>
    <t>PorPago</t>
  </si>
  <si>
    <t>0569.4257</t>
  </si>
  <si>
    <t>Prestação Jurisdicional na Justiça Federal / Julgamento de Causa - Pessoal</t>
  </si>
  <si>
    <t>02.061</t>
  </si>
  <si>
    <t>F</t>
  </si>
  <si>
    <t>100</t>
  </si>
  <si>
    <t>Prestação Jurisdicional na Justiça Federal / Julgamento de Causas - Custeio</t>
  </si>
  <si>
    <t>127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</si>
  <si>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</si>
  <si>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</si>
  <si>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</si>
  <si>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</si>
  <si>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</si>
  <si>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</si>
  <si>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</si>
  <si>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</si>
  <si>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</si>
  <si>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</si>
  <si>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</si>
  <si>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</si>
  <si>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</si>
  <si>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</si>
  <si>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</si>
  <si>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</si>
  <si>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</si>
  <si>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</si>
  <si>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</si>
  <si>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</si>
  <si>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</si>
  <si>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0569.103D</t>
  </si>
  <si>
    <t>Prestação Jurisdicional na Justiça Federal / Construção de Edifício Sede de São José dos Campos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</si>
  <si>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</si>
  <si>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</si>
  <si>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</si>
  <si>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</si>
  <si>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</si>
  <si>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</si>
  <si>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ANEXO II - DEMONSTRATIVO ORÇAMENTÁRIO DA SEÇÃO JUDICIÁRIA DE SÃO PAULO 2010</t>
  </si>
  <si>
    <t>STN-OUTRAS INDENIZAÇÕES(FOLHA)</t>
  </si>
  <si>
    <t>STN-OUTRAS RECEITAS</t>
  </si>
  <si>
    <t>STN-OUTRAS MULTAS</t>
  </si>
  <si>
    <t>STN-REC DESP EXERC. ANT</t>
  </si>
  <si>
    <t>2010 - CÓDIGO 18821</t>
  </si>
  <si>
    <t>R$</t>
  </si>
  <si>
    <t>2010-CÓDIGO 18822</t>
  </si>
  <si>
    <t>2010 - CÓDIGO 18828</t>
  </si>
  <si>
    <t>2010 -CÓDIGO 18806</t>
  </si>
  <si>
    <t>TOTAL GERAL:</t>
  </si>
  <si>
    <t>TOTAL SJSP</t>
  </si>
  <si>
    <t>Inciso VI - Receitas</t>
  </si>
  <si>
    <t>ANEXO I - RESTOS A PAGAR</t>
  </si>
  <si>
    <t>ANEXO I</t>
  </si>
  <si>
    <t>SJSP</t>
  </si>
  <si>
    <t>SEÇÃO JUDICIÁRIA DE SÃO PAULO</t>
  </si>
  <si>
    <t>SECRETARIA DE PLANEJAMENTO, ORÇAMENTO E FINANÇAS</t>
  </si>
  <si>
    <t>Inciso I - Despesas com Pessoal e Encargos</t>
  </si>
  <si>
    <t>Inciso III - Despesas com Investimentos</t>
  </si>
  <si>
    <t>0569.3755</t>
  </si>
  <si>
    <t>Prestação Jurisdicional na Justiça Federal / Implantação de Varas Federais</t>
  </si>
  <si>
    <t>169</t>
  </si>
  <si>
    <t>ValorRP</t>
  </si>
  <si>
    <t>células - tipo 3 provisão</t>
  </si>
  <si>
    <t>Valores em R$ 1,00</t>
  </si>
  <si>
    <t>Encargos sociais incidentes sobre a remuneração de pessoal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</si>
  <si>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</si>
  <si>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</si>
  <si>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</si>
  <si>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</si>
  <si>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</si>
  <si>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 xml:space="preserve">Valores em R$ </t>
  </si>
  <si>
    <t>Valores em R$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</si>
  <si>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</si>
  <si>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</si>
  <si>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</si>
  <si>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</si>
  <si>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CÉLULAS ==&gt;</t>
  </si>
  <si>
    <t>==&gt; RPV Servidor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</si>
  <si>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</si>
  <si>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</si>
  <si>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</si>
  <si>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</si>
  <si>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</si>
  <si>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</si>
  <si>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</si>
  <si>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</si>
  <si>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</si>
  <si>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</si>
  <si>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</si>
  <si>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</si>
  <si>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</si>
  <si>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</si>
  <si>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</si>
  <si>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</si>
  <si>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</si>
  <si>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</si>
  <si>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</si>
  <si>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</si>
  <si>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</si>
  <si>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</si>
  <si>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</si>
  <si>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</si>
  <si>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</si>
  <si>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</si>
  <si>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</si>
  <si>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</si>
  <si>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</si>
  <si>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</si>
  <si>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</si>
  <si>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</si>
  <si>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</si>
  <si>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</si>
  <si>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</si>
  <si>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</si>
  <si>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</si>
  <si>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</si>
  <si>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</si>
  <si>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</si>
  <si>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</si>
  <si>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</si>
  <si>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É sentença judicial, "C16" ? Então OK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</si>
  <si>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</si>
  <si>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</si>
  <si>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</si>
  <si>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</si>
  <si>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Aquisição de material de processamento de dados e de software - inciso II alinea t - Res. 102 CNJ</t>
  </si>
  <si>
    <t>Serviços médicos e hospitalares, odontológicos e laboratoriais - inciso II alinea y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</si>
  <si>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</si>
  <si>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</si>
  <si>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</si>
  <si>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</si>
  <si>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</si>
  <si>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Passagens e despesas com locomoção - inciso II alinea f - Res. 102 CNJ</t>
  </si>
  <si>
    <t>Benefícios a servidores e empregados - auxílio alimentação - inciso II alinea b - Res. 102 CNJ</t>
  </si>
  <si>
    <t>Benefícios a servidores e empregados - auxílio transporte - inciso II alinea a - Res. 102 CNJ</t>
  </si>
  <si>
    <t>Diárias pagas a servidores, empregados e colaboradores - inciso II alinea e - Res. 102 CNJ</t>
  </si>
  <si>
    <t>Benefícios a servidores e empregados - auxílio creche - inciso II alinea c - Res. 102 CNJ</t>
  </si>
  <si>
    <t>Aluguel de imóveis - inciso II alinea h - Res. 102 CNJ</t>
  </si>
  <si>
    <t>Demais despesas de custeio - inciso II alinea z - Res. 102 CNJ</t>
  </si>
  <si>
    <t>Locação de mão de obra e postos de trabalho, ressalvado o apropriado nas alineas "n" e "o" - inciso II alinea q - Res. 102 CNJ</t>
  </si>
  <si>
    <t>Serviços de comunicação em geral - inciso II alinea l - Res. 102 CNJ</t>
  </si>
  <si>
    <t>Benefícios a servidores e empregados - assistência médica e odontológica - inciso II alinea d - Res. 102 CNJ</t>
  </si>
  <si>
    <t>Indenizações de ajuda de custo, transporte e auxílio moradia - inciso II alinea g - Res. 102 CNJ</t>
  </si>
  <si>
    <t>Serviços de publicidade - inciso II alinea p - Res. 102 CNJ</t>
  </si>
  <si>
    <t>Aquisição de material de consumo, ressalvado o apropriado nas alineas "s" a "w" - inciso II alinea x - Res. 102 CNJ</t>
  </si>
  <si>
    <t>Aquisição de material de expediente - inciso II alinea s - Res. 102 CNJ</t>
  </si>
  <si>
    <t>Serviços de energia elétrica - inciso II alinea j - Res. 102 CNJ</t>
  </si>
  <si>
    <t>Serviços de água e esgoto - inciso II alinea i - Res. 102 CNJ</t>
  </si>
  <si>
    <t>Despesas com pessoal inativo e pensões - inciso I alinea b - Res. 102 CNJ</t>
  </si>
  <si>
    <t>Encargos sociais incidentes sobre a remuneração de pessoal - inciso I alinea c - Res. 102 CNJ</t>
  </si>
  <si>
    <t>Serviços de seleção e treinamento - inciso II alinea r - Res. 102 CNJ</t>
  </si>
  <si>
    <t>Aquisição de gêneros alimentícios - inciso II alinea w - Res. 102 CNJ</t>
  </si>
  <si>
    <t>Serviços de de vigilância armada e desarmada - inciso II alinea o - Res. 102 CNJ</t>
  </si>
  <si>
    <t>Serviços de limpeza e conservação - inciso II alinea n - Res. 102 CNJ</t>
  </si>
  <si>
    <t>Aquisição de combustíveis e lubrificantes - inciso II alinea v - Res. 102 CNJ</t>
  </si>
  <si>
    <t>Serviços de telecomunicações - inciso II alinea k - Res. 102 CNJ</t>
  </si>
  <si>
    <t>Aquisição de material bibliográfico - inciso II alinea u - Res. 102 CNJ</t>
  </si>
  <si>
    <t>Construção e reforma de imóveis - inciso III alinea a - Res. 102 CNJ</t>
  </si>
  <si>
    <t>Aquisição de material permanente - demais itens - inciso III alinea e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</si>
  <si>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</si>
  <si>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= C16 ==&gt; Sentença Judicial????   OK</t>
  </si>
  <si>
    <t>622.920.103 (+) 622.920.104 - EMPENHOS LIQUIDADOS</t>
  </si>
  <si>
    <t xml:space="preserve">822.230.400 - COTA FINANCEIRA RECEBIDA                                         </t>
  </si>
  <si>
    <t xml:space="preserve">822.240.400 - COTA FINANCEIRA DE RESTOS A PAGAR - RECEBIDA </t>
  </si>
  <si>
    <t>622920103 / 104 - EMPENHOS LIQUIDADOS</t>
  </si>
  <si>
    <t>CECÍLIA MARCONDES</t>
  </si>
  <si>
    <t>&lt;== Antigo s/ conta DocEletr</t>
  </si>
  <si>
    <t>822.230.800 - COTA FINANCEIRA PROV. DE SUB REPASSE DOC. ELETRÔNICO</t>
  </si>
  <si>
    <t>631.710.100 (+)  631.710.200</t>
  </si>
  <si>
    <t>==&gt; aba de RP</t>
  </si>
  <si>
    <t>==&gt; RPNP INSC LIQ</t>
  </si>
  <si>
    <t>==&gt; Prec. e Rpv's</t>
  </si>
  <si>
    <t>==&gt; Dif. Entre SIAFI e EXCEL</t>
  </si>
  <si>
    <t>01/2017</t>
  </si>
  <si>
    <t>==&gt; prec rpv</t>
  </si>
  <si>
    <t>02/2017</t>
  </si>
  <si>
    <t>822.230.500 - SUB-REPASSE FINANCEIRO RECEBIDO DIFERIDO</t>
  </si>
  <si>
    <t>03/2017</t>
  </si>
  <si>
    <t>04/2017</t>
  </si>
  <si>
    <t>3) No mês de abril ocorreu alteração no inciso V, alínea "a" devido a devolução de Sub-Repasse Recebido.</t>
  </si>
  <si>
    <t>05/2017</t>
  </si>
  <si>
    <t>D</t>
  </si>
  <si>
    <t>06/2017</t>
  </si>
  <si>
    <t>07/2017</t>
  </si>
  <si>
    <t>08/2017</t>
  </si>
  <si>
    <t>09/2017</t>
  </si>
  <si>
    <t>10/2017</t>
  </si>
  <si>
    <t>2) Retificada alínea "d" do Inciso VI publicada com erro no valor.</t>
  </si>
  <si>
    <t>11/2017</t>
  </si>
  <si>
    <t>CONOR CRÉD LIQ.</t>
  </si>
  <si>
    <t>LIQ. POR INSCR. RP</t>
  </si>
  <si>
    <t>LIQ. INCR. RPP</t>
  </si>
  <si>
    <t>622.920.107 LIQ. INSCR. EM RPP</t>
  </si>
  <si>
    <t>17/01/2018-18:04:21</t>
  </si>
  <si>
    <t>E</t>
  </si>
  <si>
    <t>18/01/2018 - 15:28:00</t>
  </si>
  <si>
    <t>==&gt; Diferença</t>
  </si>
  <si>
    <t>== Inscr. p/ R.P.</t>
  </si>
  <si>
    <t>==&gt; Pagto Sentença Judicial "C16"</t>
  </si>
  <si>
    <t>12/2017</t>
  </si>
  <si>
    <t>18/01/2018-17:19:12</t>
  </si>
  <si>
    <t>RESTOS A PAGAR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</si>
</sst>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;[Red]#,##0"/>
    <numFmt numFmtId="167" formatCode="#,##0.00;[Red]#,##0.00"/>
    <numFmt numFmtId="168" formatCode="#,##0.00_ ;[Red]\-#,##0.00\ 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theme="3" tint="-0.249977111117893"/>
      <name val="Arial"/>
      <family val="2"/>
    </font>
    <font>
      <u val="singleAccounting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6" fillId="0" borderId="0"/>
    <xf numFmtId="43" fontId="1" fillId="0" borderId="0" applyFont="0" applyFill="0" applyBorder="0" applyAlignment="0" applyProtection="0"/>
    <xf numFmtId="0" fontId="6" fillId="0" borderId="0"/>
  </cellStyleXfs>
  <cellXfs count="19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5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5" fillId="2" borderId="1" xfId="0" applyNumberFormat="1" applyFont="1" applyFill="1" applyBorder="1"/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43" fontId="0" fillId="0" borderId="0" xfId="2" applyFont="1"/>
    <xf numFmtId="167" fontId="6" fillId="0" borderId="0" xfId="1" applyNumberFormat="1" applyFont="1" applyFill="1" applyBorder="1" applyAlignment="1">
      <alignment horizontal="right"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6" fontId="0" fillId="0" borderId="12" xfId="0" applyNumberFormat="1" applyBorder="1"/>
    <xf numFmtId="166" fontId="0" fillId="0" borderId="0" xfId="0" applyNumberFormat="1"/>
    <xf numFmtId="166" fontId="0" fillId="0" borderId="13" xfId="0" applyNumberFormat="1" applyBorder="1"/>
    <xf numFmtId="166" fontId="0" fillId="0" borderId="11" xfId="0" applyNumberFormat="1" applyBorder="1"/>
    <xf numFmtId="166" fontId="0" fillId="0" borderId="4" xfId="0" applyNumberFormat="1" applyBorder="1"/>
    <xf numFmtId="166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6" fontId="2" fillId="0" borderId="4" xfId="0" applyNumberFormat="1" applyFont="1" applyBorder="1"/>
    <xf numFmtId="166" fontId="2" fillId="0" borderId="13" xfId="0" applyNumberFormat="1" applyFont="1" applyBorder="1"/>
    <xf numFmtId="166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2" borderId="24" xfId="0" applyFont="1" applyFill="1" applyBorder="1"/>
    <xf numFmtId="0" fontId="0" fillId="2" borderId="24" xfId="0" applyFill="1" applyBorder="1"/>
    <xf numFmtId="0" fontId="2" fillId="4" borderId="24" xfId="0" applyFont="1" applyFill="1" applyBorder="1"/>
    <xf numFmtId="0" fontId="0" fillId="4" borderId="24" xfId="0" applyFill="1" applyBorder="1"/>
    <xf numFmtId="0" fontId="2" fillId="5" borderId="24" xfId="0" applyFont="1" applyFill="1" applyBorder="1"/>
    <xf numFmtId="0" fontId="0" fillId="5" borderId="24" xfId="0" applyFill="1" applyBorder="1"/>
    <xf numFmtId="0" fontId="0" fillId="2" borderId="24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4" fontId="0" fillId="2" borderId="24" xfId="0" applyNumberFormat="1" applyFill="1" applyBorder="1"/>
    <xf numFmtId="4" fontId="0" fillId="4" borderId="24" xfId="0" applyNumberFormat="1" applyFill="1" applyBorder="1"/>
    <xf numFmtId="4" fontId="0" fillId="5" borderId="24" xfId="0" applyNumberFormat="1" applyFill="1" applyBorder="1"/>
    <xf numFmtId="4" fontId="0" fillId="4" borderId="1" xfId="0" applyNumberFormat="1" applyFill="1" applyBorder="1" applyAlignment="1">
      <alignment wrapText="1"/>
    </xf>
    <xf numFmtId="43" fontId="0" fillId="0" borderId="0" xfId="2" applyFont="1" applyAlignment="1">
      <alignment wrapText="1"/>
    </xf>
    <xf numFmtId="0" fontId="0" fillId="4" borderId="1" xfId="0" applyFill="1" applyBorder="1"/>
    <xf numFmtId="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0" fillId="0" borderId="0" xfId="0" quotePrefix="1"/>
    <xf numFmtId="43" fontId="0" fillId="4" borderId="1" xfId="2" applyFont="1" applyFill="1" applyBorder="1" applyAlignment="1">
      <alignment horizontal="center"/>
    </xf>
    <xf numFmtId="40" fontId="0" fillId="4" borderId="1" xfId="0" applyNumberFormat="1" applyFill="1" applyBorder="1" applyAlignment="1">
      <alignment horizontal="right"/>
    </xf>
    <xf numFmtId="40" fontId="0" fillId="0" borderId="0" xfId="0" applyNumberFormat="1"/>
    <xf numFmtId="164" fontId="0" fillId="0" borderId="0" xfId="0" applyNumberFormat="1"/>
    <xf numFmtId="4" fontId="0" fillId="0" borderId="1" xfId="0" applyNumberFormat="1" applyFill="1" applyBorder="1" applyAlignment="1">
      <alignment vertical="center"/>
    </xf>
    <xf numFmtId="0" fontId="9" fillId="7" borderId="39" xfId="3" applyFont="1" applyFill="1" applyBorder="1" applyAlignment="1">
      <alignment horizontal="center"/>
    </xf>
    <xf numFmtId="0" fontId="9" fillId="0" borderId="40" xfId="3" applyFont="1" applyFill="1" applyBorder="1" applyAlignment="1">
      <alignment wrapText="1"/>
    </xf>
    <xf numFmtId="4" fontId="9" fillId="0" borderId="40" xfId="3" applyNumberFormat="1" applyFont="1" applyFill="1" applyBorder="1" applyAlignment="1">
      <alignment horizontal="right" wrapText="1"/>
    </xf>
    <xf numFmtId="0" fontId="0" fillId="8" borderId="0" xfId="0" applyFill="1"/>
    <xf numFmtId="165" fontId="0" fillId="8" borderId="0" xfId="2" applyNumberFormat="1" applyFont="1" applyFill="1" applyAlignment="1">
      <alignment horizontal="right"/>
    </xf>
    <xf numFmtId="4" fontId="0" fillId="9" borderId="1" xfId="0" applyNumberFormat="1" applyFill="1" applyBorder="1"/>
    <xf numFmtId="4" fontId="0" fillId="0" borderId="41" xfId="0" applyNumberFormat="1" applyBorder="1" applyAlignment="1">
      <alignment vertical="center"/>
    </xf>
    <xf numFmtId="4" fontId="1" fillId="2" borderId="1" xfId="0" applyNumberFormat="1" applyFont="1" applyFill="1" applyBorder="1"/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8" fillId="0" borderId="0" xfId="2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0" fillId="0" borderId="0" xfId="0" applyNumberFormat="1"/>
    <xf numFmtId="43" fontId="0" fillId="0" borderId="1" xfId="2" applyFont="1" applyBorder="1" applyAlignment="1">
      <alignment horizontal="center"/>
    </xf>
    <xf numFmtId="43" fontId="0" fillId="0" borderId="1" xfId="2" applyFont="1" applyBorder="1"/>
    <xf numFmtId="43" fontId="0" fillId="4" borderId="1" xfId="2" applyFont="1" applyFill="1" applyBorder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2" borderId="1" xfId="0" applyNumberFormat="1" applyFill="1" applyBorder="1"/>
    <xf numFmtId="40" fontId="0" fillId="4" borderId="1" xfId="0" applyNumberFormat="1" applyFill="1" applyBorder="1"/>
    <xf numFmtId="40" fontId="0" fillId="4" borderId="1" xfId="2" applyNumberFormat="1" applyFont="1" applyFill="1" applyBorder="1" applyAlignment="1">
      <alignment horizontal="center"/>
    </xf>
    <xf numFmtId="40" fontId="0" fillId="4" borderId="1" xfId="0" applyNumberFormat="1" applyFill="1" applyBorder="1" applyAlignment="1">
      <alignment horizontal="center"/>
    </xf>
    <xf numFmtId="40" fontId="0" fillId="0" borderId="0" xfId="2" applyNumberFormat="1" applyFont="1"/>
    <xf numFmtId="0" fontId="10" fillId="10" borderId="42" xfId="0" applyFont="1" applyFill="1" applyBorder="1"/>
    <xf numFmtId="43" fontId="10" fillId="10" borderId="42" xfId="2" applyFont="1" applyFill="1" applyBorder="1"/>
    <xf numFmtId="0" fontId="3" fillId="0" borderId="0" xfId="0" applyFont="1" applyBorder="1" applyAlignment="1">
      <alignment vertical="center"/>
    </xf>
    <xf numFmtId="0" fontId="1" fillId="0" borderId="0" xfId="0" quotePrefix="1" applyFont="1"/>
    <xf numFmtId="43" fontId="1" fillId="0" borderId="0" xfId="0" applyNumberFormat="1" applyFont="1"/>
    <xf numFmtId="43" fontId="11" fillId="0" borderId="0" xfId="2" quotePrefix="1" applyFont="1" applyAlignment="1">
      <alignment horizontal="center" vertical="center" wrapText="1"/>
    </xf>
    <xf numFmtId="0" fontId="1" fillId="0" borderId="0" xfId="0" applyFont="1"/>
    <xf numFmtId="0" fontId="1" fillId="8" borderId="0" xfId="0" applyFont="1" applyFill="1"/>
    <xf numFmtId="4" fontId="1" fillId="0" borderId="0" xfId="2" quotePrefix="1" applyNumberFormat="1" applyFont="1"/>
    <xf numFmtId="4" fontId="0" fillId="8" borderId="0" xfId="2" applyNumberFormat="1" applyFont="1" applyFill="1"/>
    <xf numFmtId="4" fontId="0" fillId="0" borderId="0" xfId="2" applyNumberFormat="1" applyFont="1"/>
    <xf numFmtId="4" fontId="1" fillId="0" borderId="0" xfId="0" applyNumberFormat="1" applyFont="1"/>
    <xf numFmtId="43" fontId="12" fillId="0" borderId="0" xfId="0" applyNumberFormat="1" applyFont="1"/>
    <xf numFmtId="0" fontId="0" fillId="0" borderId="26" xfId="0" applyBorder="1" applyAlignment="1">
      <alignment horizontal="left"/>
    </xf>
    <xf numFmtId="43" fontId="1" fillId="0" borderId="0" xfId="2" quotePrefix="1" applyFont="1"/>
    <xf numFmtId="0" fontId="1" fillId="0" borderId="25" xfId="0" applyFont="1" applyBorder="1" applyAlignment="1">
      <alignment horizontal="left"/>
    </xf>
    <xf numFmtId="43" fontId="0" fillId="0" borderId="0" xfId="2" applyFont="1" applyAlignment="1">
      <alignment shrinkToFit="1"/>
    </xf>
    <xf numFmtId="0" fontId="1" fillId="0" borderId="0" xfId="0" applyFont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0" fillId="0" borderId="1" xfId="2" applyNumberFormat="1" applyFont="1" applyBorder="1"/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168" fontId="0" fillId="0" borderId="0" xfId="0" applyNumberFormat="1"/>
    <xf numFmtId="40" fontId="1" fillId="0" borderId="1" xfId="2" applyNumberFormat="1" applyFont="1" applyBorder="1"/>
    <xf numFmtId="0" fontId="0" fillId="0" borderId="27" xfId="0" applyFont="1" applyFill="1" applyBorder="1" applyAlignment="1">
      <alignment horizontal="left" shrinkToFi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25" xfId="0" applyNumberForma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41" xfId="0" applyBorder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1" xfId="0" quotePrefix="1" applyFont="1" applyFill="1" applyBorder="1" applyAlignment="1">
      <alignment horizontal="center"/>
    </xf>
    <xf numFmtId="0" fontId="2" fillId="6" borderId="29" xfId="0" quotePrefix="1" applyFont="1" applyFill="1" applyBorder="1" applyAlignment="1">
      <alignment horizontal="center"/>
    </xf>
  </cellXfs>
  <cellStyles count="4">
    <cellStyle name="Normal" xfId="0" builtinId="0"/>
    <cellStyle name="Normal_Despesa - Access" xfId="3"/>
    <cellStyle name="Normal_TRF" xfId="1"/>
    <cellStyle name="Vírgula" xfId="2" builtin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85</xdr:row>
      <xdr:rowOff>0</xdr:rowOff>
    </xdr:from>
    <xdr:to>
      <xdr:col>5</xdr:col>
      <xdr:colOff>161925</xdr:colOff>
      <xdr:row>86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67740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SP - 2013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Repasse SJSP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4.xml><?xml version="1.0" encoding="utf-8"?>
<queryTable xmlns="http://schemas.openxmlformats.org/spreadsheetml/2006/main" name="Restos a Pagar SJSP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Tabela_Despesa_SJSP___2013" displayName="Tabela_Despesa_SJSP___2013" ref="A1:Q38" tableType="queryTable" totalsRowShown="0">
  <autoFilter ref="A1:Q38"/>
  <sortState ref="A2:Q38">
    <sortCondition ref="B1:B38"/>
  </sortState>
  <tableColumns count="17">
    <tableColumn id="1" uniqueName="1" name="Grupo" queryTableFieldId="1" dataDxfId="17" dataCellStyle="Normal_Despesa - Access"/>
    <tableColumn id="2" uniqueName="2" name="Despesa" queryTableFieldId="2" dataDxfId="16" dataCellStyle="Normal_Despesa - Access"/>
    <tableColumn id="3" uniqueName="3" name="DesGrupo" queryTableFieldId="3" dataDxfId="15" dataCellStyle="Normal_Despesa - Access"/>
    <tableColumn id="4" uniqueName="4" name="DesDespesa" queryTableFieldId="4" dataDxfId="14" dataCellStyle="Normal_Despesa - Access"/>
    <tableColumn id="5" uniqueName="5" name="ValJan" queryTableFieldId="5" dataDxfId="13" dataCellStyle="Normal_Despesa - Access"/>
    <tableColumn id="6" uniqueName="6" name="ValFev" queryTableFieldId="6" dataDxfId="12" dataCellStyle="Normal_Despesa - Access"/>
    <tableColumn id="7" uniqueName="7" name="ValMar" queryTableFieldId="7" dataDxfId="11" dataCellStyle="Normal_Despesa - Access"/>
    <tableColumn id="8" uniqueName="8" name="ValAbr" queryTableFieldId="8" dataDxfId="10" dataCellStyle="Normal_Despesa - Access"/>
    <tableColumn id="9" uniqueName="9" name="ValMai" queryTableFieldId="9" dataDxfId="9" dataCellStyle="Normal_Despesa - Access"/>
    <tableColumn id="10" uniqueName="10" name="ValJun" queryTableFieldId="10" dataDxfId="8" dataCellStyle="Normal_Despesa - Access"/>
    <tableColumn id="11" uniqueName="11" name="ValJul" queryTableFieldId="11" dataDxfId="7" dataCellStyle="Normal_Despesa - Access"/>
    <tableColumn id="12" uniqueName="12" name="ValAgo" queryTableFieldId="12" dataDxfId="6" dataCellStyle="Normal_Despesa - Access"/>
    <tableColumn id="13" uniqueName="13" name="ValSet" queryTableFieldId="13" dataDxfId="5" dataCellStyle="Normal_Despesa - Access"/>
    <tableColumn id="14" uniqueName="14" name="ValOut" queryTableFieldId="14" dataDxfId="4" dataCellStyle="Normal_Despesa - Access"/>
    <tableColumn id="15" uniqueName="15" name="ValNov" queryTableFieldId="15" dataDxfId="3" dataCellStyle="Normal_Despesa - Access"/>
    <tableColumn id="16" uniqueName="16" name="ValDez" queryTableFieldId="16" dataDxfId="2" dataCellStyle="Normal_Despesa - Access"/>
    <tableColumn id="17" uniqueName="17" name="Ano" queryTableFieldId="17" dataDxfId="1" dataCellStyle="Normal_Despesa - Acces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SP___2013" displayName="Tabela_Repasse_SJSP___2013" ref="A1:R5" tableType="queryTable" totalsRowShown="0">
  <autoFilter ref="A1:R5"/>
  <sortState ref="A2:R5">
    <sortCondition ref="B1:B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ela_Restos_a_Pagar_SJSP___2013" displayName="Tabela_Restos_a_Pagar_SJSP___2013" ref="A1:F38" tableType="queryTable" totalsRowShown="0">
  <autoFilter ref="A1:F38"/>
  <sortState ref="A2:F38">
    <sortCondition ref="B1:B34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F115"/>
  <sheetViews>
    <sheetView showGridLines="0" view="pageBreakPreview" topLeftCell="A82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5" style="33" bestFit="1" customWidth="1"/>
    <col min="5" max="5" width="11.28515625" style="33" bestFit="1" customWidth="1"/>
    <col min="6" max="6" width="9.140625" style="33"/>
  </cols>
  <sheetData>
    <row r="1" spans="1:3" x14ac:dyDescent="0.2">
      <c r="A1" s="164" t="s">
        <v>254</v>
      </c>
      <c r="B1" s="164"/>
      <c r="C1" s="164"/>
    </row>
    <row r="3" spans="1:3" x14ac:dyDescent="0.2">
      <c r="A3" s="2" t="s">
        <v>32</v>
      </c>
      <c r="B3" s="163" t="s">
        <v>255</v>
      </c>
      <c r="C3" s="163"/>
    </row>
    <row r="4" spans="1:3" x14ac:dyDescent="0.2">
      <c r="A4" s="2" t="s">
        <v>33</v>
      </c>
      <c r="B4" s="163" t="s">
        <v>256</v>
      </c>
      <c r="C4" s="163"/>
    </row>
    <row r="5" spans="1:3" x14ac:dyDescent="0.2">
      <c r="A5" s="2" t="s">
        <v>34</v>
      </c>
      <c r="B5" s="163" t="s">
        <v>367</v>
      </c>
      <c r="C5" s="163"/>
    </row>
    <row r="6" spans="1:3" x14ac:dyDescent="0.2">
      <c r="A6" s="2" t="s">
        <v>35</v>
      </c>
      <c r="B6" s="163" t="s">
        <v>257</v>
      </c>
      <c r="C6" s="163"/>
    </row>
    <row r="7" spans="1:3" x14ac:dyDescent="0.2">
      <c r="A7" s="2" t="s">
        <v>36</v>
      </c>
      <c r="B7" s="160" t="s">
        <v>375</v>
      </c>
      <c r="C7" s="161"/>
    </row>
    <row r="8" spans="1:3" x14ac:dyDescent="0.2">
      <c r="A8" s="2" t="s">
        <v>37</v>
      </c>
      <c r="B8" s="162">
        <v>42776</v>
      </c>
      <c r="C8" s="163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Access'!E2</f>
        <v>105821339.01000001</v>
      </c>
    </row>
    <row r="14" spans="1:3" x14ac:dyDescent="0.2">
      <c r="A14" s="2" t="s">
        <v>41</v>
      </c>
      <c r="B14" s="5" t="s">
        <v>2</v>
      </c>
      <c r="C14" s="10">
        <f>'Despesa - Access'!E3</f>
        <v>19837540.780000001</v>
      </c>
    </row>
    <row r="15" spans="1:3" x14ac:dyDescent="0.2">
      <c r="A15" s="2" t="s">
        <v>42</v>
      </c>
      <c r="B15" s="5" t="s">
        <v>266</v>
      </c>
      <c r="C15" s="10">
        <f>'Despesa - Access'!E4</f>
        <v>13682846.93</v>
      </c>
    </row>
    <row r="16" spans="1:3" ht="51" x14ac:dyDescent="0.2">
      <c r="A16" s="6" t="s">
        <v>43</v>
      </c>
      <c r="B16" s="5" t="s">
        <v>274</v>
      </c>
      <c r="C16" s="10">
        <v>30975.26</v>
      </c>
    </row>
    <row r="17" spans="1:6" x14ac:dyDescent="0.2">
      <c r="A17" s="165" t="s">
        <v>70</v>
      </c>
      <c r="B17" s="165"/>
      <c r="C17" s="10">
        <f>SUM(C13:C16)</f>
        <v>139372701.97999999</v>
      </c>
      <c r="D17" s="33">
        <v>139341726.72</v>
      </c>
      <c r="E17" s="33">
        <f>+C17-D17</f>
        <v>30975.259999990463</v>
      </c>
      <c r="F17" s="33">
        <f>+E17-C16</f>
        <v>-9.5351424533873796E-9</v>
      </c>
    </row>
    <row r="19" spans="1:6" x14ac:dyDescent="0.2">
      <c r="A19" s="4" t="s">
        <v>71</v>
      </c>
    </row>
    <row r="21" spans="1:6" x14ac:dyDescent="0.2">
      <c r="A21" s="3" t="s">
        <v>38</v>
      </c>
      <c r="B21" s="3" t="s">
        <v>39</v>
      </c>
      <c r="C21" s="11" t="s">
        <v>273</v>
      </c>
    </row>
    <row r="22" spans="1:6" x14ac:dyDescent="0.2">
      <c r="A22" s="2" t="s">
        <v>40</v>
      </c>
      <c r="B22" s="2" t="s">
        <v>3</v>
      </c>
      <c r="C22" s="9">
        <f>'Despesa - Access'!E6</f>
        <v>108272.65</v>
      </c>
    </row>
    <row r="23" spans="1:6" x14ac:dyDescent="0.2">
      <c r="A23" s="2" t="s">
        <v>41</v>
      </c>
      <c r="B23" s="2" t="s">
        <v>4</v>
      </c>
      <c r="C23" s="9">
        <f>'Despesa - Access'!E7</f>
        <v>4037389.26</v>
      </c>
    </row>
    <row r="24" spans="1:6" x14ac:dyDescent="0.2">
      <c r="A24" s="2" t="s">
        <v>42</v>
      </c>
      <c r="B24" s="2" t="s">
        <v>5</v>
      </c>
      <c r="C24" s="9">
        <f>'Despesa - Access'!E8</f>
        <v>522153</v>
      </c>
    </row>
    <row r="25" spans="1:6" x14ac:dyDescent="0.2">
      <c r="A25" s="2" t="s">
        <v>43</v>
      </c>
      <c r="B25" s="2" t="s">
        <v>6</v>
      </c>
      <c r="C25" s="9">
        <f>'Despesa - Access'!E9</f>
        <v>342181.59</v>
      </c>
    </row>
    <row r="26" spans="1:6" x14ac:dyDescent="0.2">
      <c r="A26" s="2" t="s">
        <v>44</v>
      </c>
      <c r="B26" s="2" t="s">
        <v>7</v>
      </c>
      <c r="C26" s="9">
        <f>'Despesa - Access'!E10</f>
        <v>95184.03</v>
      </c>
    </row>
    <row r="27" spans="1:6" x14ac:dyDescent="0.2">
      <c r="A27" s="2" t="s">
        <v>45</v>
      </c>
      <c r="B27" s="2" t="s">
        <v>67</v>
      </c>
      <c r="C27" s="9">
        <f>'Despesa - Access'!E11</f>
        <v>6019.57</v>
      </c>
    </row>
    <row r="28" spans="1:6" x14ac:dyDescent="0.2">
      <c r="A28" s="2" t="s">
        <v>46</v>
      </c>
      <c r="B28" s="2" t="s">
        <v>8</v>
      </c>
      <c r="C28" s="9">
        <f>'Despesa - Access'!E12</f>
        <v>1657088.64</v>
      </c>
    </row>
    <row r="29" spans="1:6" x14ac:dyDescent="0.2">
      <c r="A29" s="2" t="s">
        <v>47</v>
      </c>
      <c r="B29" s="2" t="s">
        <v>9</v>
      </c>
      <c r="C29" s="9">
        <f>'Despesa - Access'!E13</f>
        <v>0</v>
      </c>
    </row>
    <row r="30" spans="1:6" x14ac:dyDescent="0.2">
      <c r="A30" s="2" t="s">
        <v>48</v>
      </c>
      <c r="B30" s="2" t="s">
        <v>10</v>
      </c>
      <c r="C30" s="9">
        <f>'Despesa - Access'!E14</f>
        <v>27524.78</v>
      </c>
    </row>
    <row r="31" spans="1:6" x14ac:dyDescent="0.2">
      <c r="A31" s="2" t="s">
        <v>49</v>
      </c>
      <c r="B31" s="2" t="s">
        <v>11</v>
      </c>
      <c r="C31" s="9">
        <f>'Despesa - Access'!E15</f>
        <v>2310.8200000000002</v>
      </c>
    </row>
    <row r="32" spans="1:6" x14ac:dyDescent="0.2">
      <c r="A32" s="2" t="s">
        <v>50</v>
      </c>
      <c r="B32" s="2" t="s">
        <v>12</v>
      </c>
      <c r="C32" s="9">
        <f>'Despesa - Access'!E16</f>
        <v>0</v>
      </c>
    </row>
    <row r="33" spans="1:5" x14ac:dyDescent="0.2">
      <c r="A33" s="2" t="s">
        <v>51</v>
      </c>
      <c r="B33" s="2" t="s">
        <v>13</v>
      </c>
      <c r="C33" s="9">
        <f>'Despesa - Access'!E17</f>
        <v>0</v>
      </c>
    </row>
    <row r="34" spans="1:5" ht="63.75" x14ac:dyDescent="0.2">
      <c r="A34" s="6" t="s">
        <v>52</v>
      </c>
      <c r="B34" s="7" t="s">
        <v>275</v>
      </c>
      <c r="C34" s="9">
        <f>'Despesa - Access'!E18</f>
        <v>0</v>
      </c>
    </row>
    <row r="35" spans="1:5" x14ac:dyDescent="0.2">
      <c r="A35" s="2" t="s">
        <v>53</v>
      </c>
      <c r="B35" s="2" t="s">
        <v>14</v>
      </c>
      <c r="C35" s="9">
        <f>'Despesa - Access'!E19</f>
        <v>0</v>
      </c>
    </row>
    <row r="36" spans="1:5" x14ac:dyDescent="0.2">
      <c r="A36" s="2" t="s">
        <v>54</v>
      </c>
      <c r="B36" s="2" t="s">
        <v>267</v>
      </c>
      <c r="C36" s="9">
        <f>'Despesa - Access'!E20</f>
        <v>0</v>
      </c>
    </row>
    <row r="37" spans="1:5" x14ac:dyDescent="0.2">
      <c r="A37" s="2" t="s">
        <v>55</v>
      </c>
      <c r="B37" s="2" t="s">
        <v>15</v>
      </c>
      <c r="C37" s="9">
        <f>'Despesa - Access'!E21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Access'!E22</f>
        <v>0</v>
      </c>
    </row>
    <row r="39" spans="1:5" x14ac:dyDescent="0.2">
      <c r="A39" s="2" t="s">
        <v>57</v>
      </c>
      <c r="B39" s="2" t="s">
        <v>16</v>
      </c>
      <c r="C39" s="9">
        <f>'Despesa - Access'!E23</f>
        <v>9000</v>
      </c>
    </row>
    <row r="40" spans="1:5" x14ac:dyDescent="0.2">
      <c r="A40" s="2" t="s">
        <v>58</v>
      </c>
      <c r="B40" s="2" t="s">
        <v>17</v>
      </c>
      <c r="C40" s="9">
        <f>'Despesa - Access'!E24</f>
        <v>0</v>
      </c>
    </row>
    <row r="41" spans="1:5" x14ac:dyDescent="0.2">
      <c r="A41" s="2" t="s">
        <v>59</v>
      </c>
      <c r="B41" s="2" t="s">
        <v>18</v>
      </c>
      <c r="C41" s="9">
        <f>'Despesa - Access'!E25</f>
        <v>0</v>
      </c>
    </row>
    <row r="42" spans="1:5" x14ac:dyDescent="0.2">
      <c r="A42" s="2" t="s">
        <v>60</v>
      </c>
      <c r="B42" s="2" t="s">
        <v>19</v>
      </c>
      <c r="C42" s="9">
        <f>'Despesa - Access'!E26</f>
        <v>0</v>
      </c>
    </row>
    <row r="43" spans="1:5" x14ac:dyDescent="0.2">
      <c r="A43" s="2" t="s">
        <v>61</v>
      </c>
      <c r="B43" s="2" t="s">
        <v>20</v>
      </c>
      <c r="C43" s="9">
        <f>'Despesa - Access'!E27</f>
        <v>0</v>
      </c>
    </row>
    <row r="44" spans="1:5" x14ac:dyDescent="0.2">
      <c r="A44" s="2" t="s">
        <v>62</v>
      </c>
      <c r="B44" s="2" t="s">
        <v>21</v>
      </c>
      <c r="C44" s="9">
        <f>'Despesa - Access'!E28</f>
        <v>0</v>
      </c>
    </row>
    <row r="45" spans="1:5" x14ac:dyDescent="0.2">
      <c r="A45" s="2" t="s">
        <v>63</v>
      </c>
      <c r="B45" s="2" t="s">
        <v>69</v>
      </c>
      <c r="C45" s="9">
        <f>'Despesa - Access'!E29</f>
        <v>500</v>
      </c>
    </row>
    <row r="46" spans="1:5" x14ac:dyDescent="0.2">
      <c r="A46" s="2" t="s">
        <v>64</v>
      </c>
      <c r="B46" s="2" t="s">
        <v>22</v>
      </c>
      <c r="C46" s="9">
        <f>'Despesa - Access'!E30</f>
        <v>0</v>
      </c>
    </row>
    <row r="47" spans="1:5" x14ac:dyDescent="0.2">
      <c r="A47" s="2" t="s">
        <v>65</v>
      </c>
      <c r="B47" s="2" t="s">
        <v>23</v>
      </c>
      <c r="C47" s="9">
        <f>'Despesa - Access'!E31</f>
        <v>459592.22</v>
      </c>
    </row>
    <row r="48" spans="1:5" x14ac:dyDescent="0.2">
      <c r="A48" s="165" t="s">
        <v>70</v>
      </c>
      <c r="B48" s="165"/>
      <c r="C48" s="10">
        <f>SUM(C22:C47)</f>
        <v>7267216.5600000005</v>
      </c>
      <c r="D48" s="33">
        <v>7267216.5599999996</v>
      </c>
      <c r="E48" s="33">
        <f>+C48-D48</f>
        <v>0</v>
      </c>
    </row>
    <row r="50" spans="1:3" x14ac:dyDescent="0.2">
      <c r="A50" s="4" t="s">
        <v>259</v>
      </c>
    </row>
    <row r="52" spans="1:3" x14ac:dyDescent="0.2">
      <c r="A52" s="3" t="s">
        <v>38</v>
      </c>
      <c r="B52" s="3" t="s">
        <v>39</v>
      </c>
      <c r="C52" s="11" t="s">
        <v>273</v>
      </c>
    </row>
    <row r="53" spans="1:3" x14ac:dyDescent="0.2">
      <c r="A53" s="2" t="s">
        <v>40</v>
      </c>
      <c r="B53" s="2" t="s">
        <v>25</v>
      </c>
      <c r="C53" s="9">
        <f>'Despesa - Access'!E32</f>
        <v>0</v>
      </c>
    </row>
    <row r="54" spans="1:3" x14ac:dyDescent="0.2">
      <c r="A54" s="2" t="s">
        <v>41</v>
      </c>
      <c r="B54" s="2" t="s">
        <v>26</v>
      </c>
      <c r="C54" s="9">
        <f>'Despesa - Access'!E33</f>
        <v>0</v>
      </c>
    </row>
    <row r="55" spans="1:3" x14ac:dyDescent="0.2">
      <c r="A55" s="2" t="s">
        <v>42</v>
      </c>
      <c r="B55" s="2" t="s">
        <v>66</v>
      </c>
      <c r="C55" s="9">
        <f>'Despesa - Access'!E34</f>
        <v>0</v>
      </c>
    </row>
    <row r="56" spans="1:3" x14ac:dyDescent="0.2">
      <c r="A56" s="2" t="s">
        <v>43</v>
      </c>
      <c r="B56" s="2" t="s">
        <v>27</v>
      </c>
      <c r="C56" s="9">
        <f>'Despesa - Access'!E35</f>
        <v>0</v>
      </c>
    </row>
    <row r="57" spans="1:3" x14ac:dyDescent="0.2">
      <c r="A57" s="2" t="s">
        <v>44</v>
      </c>
      <c r="B57" s="2" t="s">
        <v>28</v>
      </c>
      <c r="C57" s="9">
        <f>'Despesa - Access'!E36</f>
        <v>0</v>
      </c>
    </row>
    <row r="58" spans="1:3" x14ac:dyDescent="0.2">
      <c r="A58" s="165" t="s">
        <v>70</v>
      </c>
      <c r="B58" s="165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265</v>
      </c>
    </row>
    <row r="63" spans="1:3" x14ac:dyDescent="0.2">
      <c r="A63" s="2" t="s">
        <v>40</v>
      </c>
      <c r="B63" s="2" t="s">
        <v>30</v>
      </c>
      <c r="C63" s="9">
        <f>'Despesa - Access'!E37</f>
        <v>0</v>
      </c>
    </row>
    <row r="64" spans="1:3" x14ac:dyDescent="0.2">
      <c r="A64" s="2" t="s">
        <v>41</v>
      </c>
      <c r="B64" s="2" t="s">
        <v>31</v>
      </c>
      <c r="C64" s="9">
        <f>'Despesa - Access'!E38</f>
        <v>0</v>
      </c>
    </row>
    <row r="65" spans="1:3" x14ac:dyDescent="0.2">
      <c r="A65" s="165" t="s">
        <v>70</v>
      </c>
      <c r="B65" s="165"/>
      <c r="C65" s="10">
        <f>SUM(C63:C64)</f>
        <v>0</v>
      </c>
    </row>
    <row r="66" spans="1:3" x14ac:dyDescent="0.2">
      <c r="A66" s="154"/>
      <c r="B66" s="154"/>
      <c r="C66" s="15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'Financeiro - Access'!E2</f>
        <v>145139465.72999999</v>
      </c>
    </row>
    <row r="71" spans="1:3" x14ac:dyDescent="0.2">
      <c r="A71" s="2" t="s">
        <v>41</v>
      </c>
      <c r="B71" s="2" t="s">
        <v>75</v>
      </c>
      <c r="C71" s="9">
        <f>'Financeiro - Access'!E3</f>
        <v>11457503.550000001</v>
      </c>
    </row>
    <row r="72" spans="1:3" x14ac:dyDescent="0.2">
      <c r="A72" s="2" t="s">
        <v>42</v>
      </c>
      <c r="B72" s="2" t="s">
        <v>180</v>
      </c>
      <c r="C72" s="9">
        <f>'Financeiro - Access'!E4</f>
        <v>0</v>
      </c>
    </row>
    <row r="73" spans="1:3" x14ac:dyDescent="0.2">
      <c r="A73" s="2" t="s">
        <v>43</v>
      </c>
      <c r="B73" s="2" t="s">
        <v>268</v>
      </c>
      <c r="C73" s="9">
        <f>'Financeiro - Access'!E5</f>
        <v>0</v>
      </c>
    </row>
    <row r="74" spans="1:3" x14ac:dyDescent="0.2">
      <c r="A74" s="165" t="s">
        <v>70</v>
      </c>
      <c r="B74" s="165"/>
      <c r="C74" s="10">
        <f>SUM(C70:C73)</f>
        <v>156596969.28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273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4" x14ac:dyDescent="0.2">
      <c r="A81" s="2" t="s">
        <v>42</v>
      </c>
      <c r="B81" s="2" t="s">
        <v>271</v>
      </c>
      <c r="C81" s="9"/>
    </row>
    <row r="82" spans="1:4" x14ac:dyDescent="0.2">
      <c r="A82" s="2" t="s">
        <v>43</v>
      </c>
      <c r="B82" s="2" t="s">
        <v>76</v>
      </c>
      <c r="C82" s="9"/>
    </row>
    <row r="83" spans="1:4" x14ac:dyDescent="0.2">
      <c r="A83" s="165" t="s">
        <v>70</v>
      </c>
      <c r="B83" s="165"/>
      <c r="C83" s="10">
        <f>SUM(C79:C82)</f>
        <v>0</v>
      </c>
    </row>
    <row r="84" spans="1:4" x14ac:dyDescent="0.2">
      <c r="A84" s="158" t="s">
        <v>323</v>
      </c>
      <c r="B84" s="159"/>
      <c r="C84" s="159"/>
    </row>
    <row r="85" spans="1:4" x14ac:dyDescent="0.2">
      <c r="A85" s="104" t="s">
        <v>389</v>
      </c>
      <c r="B85" s="105"/>
      <c r="C85" s="105"/>
    </row>
    <row r="86" spans="1:4" x14ac:dyDescent="0.2">
      <c r="A86" s="157" t="s">
        <v>98</v>
      </c>
      <c r="B86" s="157"/>
      <c r="C86" s="157"/>
    </row>
    <row r="87" spans="1:4" x14ac:dyDescent="0.2">
      <c r="A87" s="25"/>
      <c r="B87" s="25"/>
      <c r="C87" s="25"/>
    </row>
    <row r="88" spans="1:4" x14ac:dyDescent="0.2">
      <c r="C88" s="11" t="s">
        <v>99</v>
      </c>
    </row>
    <row r="89" spans="1:4" x14ac:dyDescent="0.2">
      <c r="A89" s="155" t="s">
        <v>122</v>
      </c>
      <c r="B89" s="156"/>
      <c r="C89" s="9">
        <v>0</v>
      </c>
    </row>
    <row r="90" spans="1:4" x14ac:dyDescent="0.2">
      <c r="A90" s="166" t="s">
        <v>363</v>
      </c>
      <c r="B90" s="156"/>
      <c r="C90" s="9">
        <f>146608943.28</f>
        <v>146608943.28</v>
      </c>
    </row>
    <row r="91" spans="1:4" x14ac:dyDescent="0.2">
      <c r="A91" s="155" t="s">
        <v>125</v>
      </c>
      <c r="B91" s="156"/>
      <c r="C91" s="9">
        <v>0</v>
      </c>
    </row>
    <row r="92" spans="1:4" x14ac:dyDescent="0.2">
      <c r="A92" s="155" t="s">
        <v>96</v>
      </c>
      <c r="B92" s="156"/>
      <c r="C92" s="27">
        <f>SUM(C89:C91)</f>
        <v>146608943.28</v>
      </c>
    </row>
    <row r="93" spans="1:4" x14ac:dyDescent="0.2">
      <c r="A93" s="155" t="s">
        <v>97</v>
      </c>
      <c r="B93" s="156"/>
      <c r="C93" s="27">
        <f>C17+C48+C58+C65</f>
        <v>146639918.53999999</v>
      </c>
    </row>
    <row r="94" spans="1:4" x14ac:dyDescent="0.2">
      <c r="B94" s="89" t="s">
        <v>278</v>
      </c>
      <c r="C94" s="87">
        <v>138361773.77000001</v>
      </c>
    </row>
    <row r="95" spans="1:4" x14ac:dyDescent="0.2">
      <c r="C95" s="8">
        <f>+C93-C92</f>
        <v>30975.259999990463</v>
      </c>
      <c r="D95" s="144" t="s">
        <v>376</v>
      </c>
    </row>
    <row r="96" spans="1:4" x14ac:dyDescent="0.2">
      <c r="A96" s="157" t="s">
        <v>111</v>
      </c>
      <c r="B96" s="157"/>
      <c r="C96" s="157"/>
    </row>
    <row r="97" spans="1:3" x14ac:dyDescent="0.2">
      <c r="A97" s="25"/>
      <c r="B97" s="25"/>
      <c r="C97" s="25"/>
    </row>
    <row r="98" spans="1:3" x14ac:dyDescent="0.2">
      <c r="A98" s="155" t="s">
        <v>364</v>
      </c>
      <c r="B98" s="156"/>
      <c r="C98" s="9">
        <v>1168453707.1300001</v>
      </c>
    </row>
    <row r="99" spans="1:3" x14ac:dyDescent="0.2">
      <c r="A99" s="145" t="s">
        <v>378</v>
      </c>
      <c r="B99" s="143"/>
      <c r="C99" s="9">
        <f>196465.64</f>
        <v>196465.64</v>
      </c>
    </row>
    <row r="100" spans="1:3" x14ac:dyDescent="0.2">
      <c r="A100" s="155" t="s">
        <v>369</v>
      </c>
      <c r="B100" s="156"/>
      <c r="C100" s="9">
        <v>482804157.33999997</v>
      </c>
    </row>
    <row r="101" spans="1:3" x14ac:dyDescent="0.2">
      <c r="A101" s="155" t="s">
        <v>365</v>
      </c>
      <c r="B101" s="156"/>
      <c r="C101" s="9">
        <v>10596640.32</v>
      </c>
    </row>
    <row r="102" spans="1:3" x14ac:dyDescent="0.2">
      <c r="A102" s="155" t="s">
        <v>96</v>
      </c>
      <c r="B102" s="156"/>
      <c r="C102" s="27">
        <f>SUM(C98:C101)</f>
        <v>1662050970.4300001</v>
      </c>
    </row>
    <row r="103" spans="1:3" x14ac:dyDescent="0.2">
      <c r="A103" s="155" t="s">
        <v>97</v>
      </c>
      <c r="B103" s="156"/>
      <c r="C103" s="27">
        <f>C74+'Anexo I - Fev'!C74+'Anexo I - Mar'!C74+'Anexo I - Abr'!C74+'Anexo I - Mai'!C74+'Anexo I - Jun'!C74+'Anexo I - Jul'!C74+'Anexo I - Ago'!C74+'Anexo I - Set'!C74+'Anexo I - Out'!C74+'Anexo I - Nov'!C74+'Anexo I - Dez'!C74</f>
        <v>1662050970.4300001</v>
      </c>
    </row>
    <row r="104" spans="1:3" x14ac:dyDescent="0.2">
      <c r="C104" s="92">
        <f>+C102-C103</f>
        <v>0</v>
      </c>
    </row>
    <row r="106" spans="1:3" x14ac:dyDescent="0.2">
      <c r="A106" s="157" t="s">
        <v>182</v>
      </c>
      <c r="B106" s="157"/>
      <c r="C106" s="157"/>
    </row>
    <row r="108" spans="1:3" x14ac:dyDescent="0.2">
      <c r="A108" s="155" t="s">
        <v>183</v>
      </c>
      <c r="B108" s="156"/>
      <c r="C108" s="27">
        <f>'Arrec. Custas'!C43+'Arrec. Custas'!F43</f>
        <v>0</v>
      </c>
    </row>
    <row r="109" spans="1:3" x14ac:dyDescent="0.2">
      <c r="A109" s="155" t="s">
        <v>97</v>
      </c>
      <c r="B109" s="156"/>
      <c r="C109" s="29">
        <f>C79+'Anexo I - Fev'!C79+'Anexo I - Mar'!C79+'Anexo I - Abr'!C79+'Anexo I - Mai'!C79+'Anexo I - Jun'!C79+'Anexo I - Jul'!C79+'Anexo I - Ago'!C79+'Anexo I - Set'!C79+'Anexo I - Out'!C79+'Anexo I - Nov'!C79+'Anexo I - Dez'!C79</f>
        <v>0</v>
      </c>
    </row>
    <row r="112" spans="1:3" x14ac:dyDescent="0.2">
      <c r="A112" s="157" t="s">
        <v>144</v>
      </c>
      <c r="B112" s="157"/>
      <c r="C112" s="157"/>
    </row>
    <row r="114" spans="1:3" x14ac:dyDescent="0.2">
      <c r="A114" s="155" t="s">
        <v>251</v>
      </c>
      <c r="B114" s="156"/>
      <c r="C114" s="29">
        <f>'Outras Receitas'!B15+'Outras Receitas'!D15+'Outras Receitas'!F15+'Outras Receitas'!H15</f>
        <v>0</v>
      </c>
    </row>
    <row r="115" spans="1:3" x14ac:dyDescent="0.2">
      <c r="A115" s="155" t="s">
        <v>97</v>
      </c>
      <c r="B115" s="156"/>
      <c r="C115" s="27">
        <f>C82+'Anexo I - Fev'!C82+'Anexo I - Mar'!C82+'Anexo I - Abr'!C82+'Anexo I - Mai'!C82+'Anexo I - Jun'!C82+'Anexo I - Jul'!C82+'Anexo I - Ago'!C82+'Anexo I - Set'!C82+'Anexo I - Out'!C82+'Anexo I - Nov'!C82+'Anexo I - Dez'!C82</f>
        <v>8629421</v>
      </c>
    </row>
  </sheetData>
  <mergeCells count="33">
    <mergeCell ref="A48:B48"/>
    <mergeCell ref="A112:C112"/>
    <mergeCell ref="A114:B114"/>
    <mergeCell ref="A115:B115"/>
    <mergeCell ref="A108:B108"/>
    <mergeCell ref="A58:B58"/>
    <mergeCell ref="A65:B65"/>
    <mergeCell ref="A74:B74"/>
    <mergeCell ref="A83:B83"/>
    <mergeCell ref="A86:C86"/>
    <mergeCell ref="A89:B89"/>
    <mergeCell ref="A90:B90"/>
    <mergeCell ref="A91:B91"/>
    <mergeCell ref="A106:C106"/>
    <mergeCell ref="A109:B109"/>
    <mergeCell ref="A92:B92"/>
    <mergeCell ref="B7:C7"/>
    <mergeCell ref="B8:C8"/>
    <mergeCell ref="A1:C1"/>
    <mergeCell ref="A17:B17"/>
    <mergeCell ref="B3:C3"/>
    <mergeCell ref="B4:C4"/>
    <mergeCell ref="B5:C5"/>
    <mergeCell ref="B6:C6"/>
    <mergeCell ref="A66:C66"/>
    <mergeCell ref="A102:B102"/>
    <mergeCell ref="A103:B103"/>
    <mergeCell ref="A93:B93"/>
    <mergeCell ref="A96:C96"/>
    <mergeCell ref="A98:B98"/>
    <mergeCell ref="A101:B101"/>
    <mergeCell ref="A100:B100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G93"/>
  <sheetViews>
    <sheetView showGridLines="0" tabSelected="1" view="pageBreakPreview" topLeftCell="A109" zoomScale="130" zoomScaleNormal="100" zoomScaleSheetLayoutView="130" workbookViewId="0">
      <selection activeCell="D92" sqref="D92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33" customWidth="1"/>
    <col min="6" max="6" width="16" bestFit="1" customWidth="1"/>
  </cols>
  <sheetData>
    <row r="1" spans="1:3" x14ac:dyDescent="0.2">
      <c r="A1" s="164" t="s">
        <v>254</v>
      </c>
      <c r="B1" s="164"/>
      <c r="C1" s="164"/>
    </row>
    <row r="3" spans="1:3" x14ac:dyDescent="0.2">
      <c r="A3" s="2" t="s">
        <v>32</v>
      </c>
      <c r="B3" s="163" t="s">
        <v>255</v>
      </c>
      <c r="C3" s="163"/>
    </row>
    <row r="4" spans="1:3" x14ac:dyDescent="0.2">
      <c r="A4" s="2" t="s">
        <v>33</v>
      </c>
      <c r="B4" s="163" t="s">
        <v>256</v>
      </c>
      <c r="C4" s="163"/>
    </row>
    <row r="5" spans="1:3" x14ac:dyDescent="0.2">
      <c r="A5" s="2" t="s">
        <v>34</v>
      </c>
      <c r="B5" s="163" t="s">
        <v>367</v>
      </c>
      <c r="C5" s="163"/>
    </row>
    <row r="6" spans="1:3" x14ac:dyDescent="0.2">
      <c r="A6" s="2" t="s">
        <v>35</v>
      </c>
      <c r="B6" s="163" t="s">
        <v>257</v>
      </c>
      <c r="C6" s="163"/>
    </row>
    <row r="7" spans="1:3" x14ac:dyDescent="0.2">
      <c r="A7" s="2" t="s">
        <v>36</v>
      </c>
      <c r="B7" s="160" t="s">
        <v>388</v>
      </c>
      <c r="C7" s="161"/>
    </row>
    <row r="8" spans="1:3" x14ac:dyDescent="0.2">
      <c r="A8" s="2" t="s">
        <v>37</v>
      </c>
      <c r="B8" s="162">
        <v>43056</v>
      </c>
      <c r="C8" s="163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273</v>
      </c>
    </row>
    <row r="13" spans="1:3" x14ac:dyDescent="0.2">
      <c r="A13" s="2" t="s">
        <v>40</v>
      </c>
      <c r="B13" s="5" t="s">
        <v>1</v>
      </c>
      <c r="C13" s="10">
        <f>+'Despesa - Access'!N2</f>
        <v>73673102.239999995</v>
      </c>
    </row>
    <row r="14" spans="1:3" x14ac:dyDescent="0.2">
      <c r="A14" s="2" t="s">
        <v>41</v>
      </c>
      <c r="B14" s="5" t="s">
        <v>2</v>
      </c>
      <c r="C14" s="10">
        <f>+'Despesa - Access'!N3</f>
        <v>14156952.789999999</v>
      </c>
    </row>
    <row r="15" spans="1:3" x14ac:dyDescent="0.2">
      <c r="A15" s="2" t="s">
        <v>42</v>
      </c>
      <c r="B15" s="5" t="s">
        <v>266</v>
      </c>
      <c r="C15" s="10">
        <f>+'Despesa - Access'!N4</f>
        <v>13628931.449999999</v>
      </c>
    </row>
    <row r="16" spans="1:3" ht="51" x14ac:dyDescent="0.2">
      <c r="A16" s="6" t="s">
        <v>43</v>
      </c>
      <c r="B16" s="5" t="s">
        <v>274</v>
      </c>
      <c r="C16" s="95">
        <v>140903.09</v>
      </c>
    </row>
    <row r="17" spans="1:5" x14ac:dyDescent="0.2">
      <c r="A17" s="165" t="s">
        <v>70</v>
      </c>
      <c r="B17" s="165"/>
      <c r="C17" s="10">
        <f>SUM(C13:C16)</f>
        <v>101599889.57000001</v>
      </c>
      <c r="E17" s="114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272</v>
      </c>
    </row>
    <row r="22" spans="1:5" x14ac:dyDescent="0.2">
      <c r="A22" s="2" t="s">
        <v>40</v>
      </c>
      <c r="B22" s="2" t="s">
        <v>3</v>
      </c>
      <c r="C22" s="9">
        <f>+'Despesa - Access'!N6</f>
        <v>238950.75</v>
      </c>
    </row>
    <row r="23" spans="1:5" x14ac:dyDescent="0.2">
      <c r="A23" s="2" t="s">
        <v>41</v>
      </c>
      <c r="B23" s="2" t="s">
        <v>4</v>
      </c>
      <c r="C23" s="9">
        <f>+'Despesa - Access'!N7</f>
        <v>4006007.06</v>
      </c>
    </row>
    <row r="24" spans="1:5" x14ac:dyDescent="0.2">
      <c r="A24" s="2" t="s">
        <v>42</v>
      </c>
      <c r="B24" s="2" t="s">
        <v>5</v>
      </c>
      <c r="C24" s="9">
        <f>+'Despesa - Access'!N8</f>
        <v>589257</v>
      </c>
    </row>
    <row r="25" spans="1:5" x14ac:dyDescent="0.2">
      <c r="A25" s="2" t="s">
        <v>43</v>
      </c>
      <c r="B25" s="2" t="s">
        <v>6</v>
      </c>
      <c r="C25" s="9">
        <f>+'Despesa - Access'!N9</f>
        <v>2053997.2</v>
      </c>
    </row>
    <row r="26" spans="1:5" x14ac:dyDescent="0.2">
      <c r="A26" s="2" t="s">
        <v>44</v>
      </c>
      <c r="B26" s="2" t="s">
        <v>7</v>
      </c>
      <c r="C26" s="9">
        <f>+'Despesa - Access'!N10</f>
        <v>142942.53</v>
      </c>
    </row>
    <row r="27" spans="1:5" x14ac:dyDescent="0.2">
      <c r="A27" s="2" t="s">
        <v>45</v>
      </c>
      <c r="B27" s="2" t="s">
        <v>67</v>
      </c>
      <c r="C27" s="9">
        <f>+'Despesa - Access'!N11</f>
        <v>50735.33</v>
      </c>
    </row>
    <row r="28" spans="1:5" x14ac:dyDescent="0.2">
      <c r="A28" s="2" t="s">
        <v>46</v>
      </c>
      <c r="B28" s="2" t="s">
        <v>8</v>
      </c>
      <c r="C28" s="9">
        <f>+'Despesa - Access'!N12</f>
        <v>2016599.23</v>
      </c>
    </row>
    <row r="29" spans="1:5" x14ac:dyDescent="0.2">
      <c r="A29" s="2" t="s">
        <v>47</v>
      </c>
      <c r="B29" s="2" t="s">
        <v>9</v>
      </c>
      <c r="C29" s="9">
        <f>+'Despesa - Access'!N13</f>
        <v>2595438.67</v>
      </c>
    </row>
    <row r="30" spans="1:5" x14ac:dyDescent="0.2">
      <c r="A30" s="2" t="s">
        <v>48</v>
      </c>
      <c r="B30" s="2" t="s">
        <v>10</v>
      </c>
      <c r="C30" s="9">
        <f>+'Despesa - Access'!N14</f>
        <v>163201.74</v>
      </c>
    </row>
    <row r="31" spans="1:5" x14ac:dyDescent="0.2">
      <c r="A31" s="2" t="s">
        <v>49</v>
      </c>
      <c r="B31" s="2" t="s">
        <v>11</v>
      </c>
      <c r="C31" s="9">
        <f>+'Despesa - Access'!N15</f>
        <v>639639.06000000006</v>
      </c>
    </row>
    <row r="32" spans="1:5" x14ac:dyDescent="0.2">
      <c r="A32" s="2" t="s">
        <v>50</v>
      </c>
      <c r="B32" s="2" t="s">
        <v>12</v>
      </c>
      <c r="C32" s="9">
        <f>+'Despesa - Access'!N16</f>
        <v>26293.69</v>
      </c>
    </row>
    <row r="33" spans="1:5" x14ac:dyDescent="0.2">
      <c r="A33" s="2" t="s">
        <v>51</v>
      </c>
      <c r="B33" s="2" t="s">
        <v>13</v>
      </c>
      <c r="C33" s="9">
        <f>+'Despesa - Access'!N17</f>
        <v>644381.06000000006</v>
      </c>
    </row>
    <row r="34" spans="1:5" ht="63.75" x14ac:dyDescent="0.2">
      <c r="A34" s="6" t="s">
        <v>52</v>
      </c>
      <c r="B34" s="7" t="s">
        <v>275</v>
      </c>
      <c r="C34" s="9">
        <f>+'Despesa - Access'!N18</f>
        <v>549458.13</v>
      </c>
    </row>
    <row r="35" spans="1:5" x14ac:dyDescent="0.2">
      <c r="A35" s="2" t="s">
        <v>53</v>
      </c>
      <c r="B35" s="2" t="s">
        <v>14</v>
      </c>
      <c r="C35" s="9">
        <f>+'Despesa - Access'!N19</f>
        <v>254262.6</v>
      </c>
    </row>
    <row r="36" spans="1:5" x14ac:dyDescent="0.2">
      <c r="A36" s="2" t="s">
        <v>54</v>
      </c>
      <c r="B36" s="2" t="s">
        <v>267</v>
      </c>
      <c r="C36" s="9">
        <f>+'Despesa - Access'!N20</f>
        <v>2578023.0699999998</v>
      </c>
    </row>
    <row r="37" spans="1:5" x14ac:dyDescent="0.2">
      <c r="A37" s="2" t="s">
        <v>55</v>
      </c>
      <c r="B37" s="2" t="s">
        <v>15</v>
      </c>
      <c r="C37" s="9">
        <f>+'Despesa - Access'!N21</f>
        <v>4196.08</v>
      </c>
    </row>
    <row r="38" spans="1:5" ht="25.5" x14ac:dyDescent="0.2">
      <c r="A38" s="6" t="s">
        <v>56</v>
      </c>
      <c r="B38" s="26" t="s">
        <v>68</v>
      </c>
      <c r="C38" s="9">
        <f>+'Despesa - Access'!N22</f>
        <v>1181800.1599999999</v>
      </c>
    </row>
    <row r="39" spans="1:5" x14ac:dyDescent="0.2">
      <c r="A39" s="2" t="s">
        <v>57</v>
      </c>
      <c r="B39" s="2" t="s">
        <v>16</v>
      </c>
      <c r="C39" s="9">
        <f>+'Despesa - Access'!N23</f>
        <v>49290.6</v>
      </c>
    </row>
    <row r="40" spans="1:5" x14ac:dyDescent="0.2">
      <c r="A40" s="2" t="s">
        <v>58</v>
      </c>
      <c r="B40" s="2" t="s">
        <v>17</v>
      </c>
      <c r="C40" s="9">
        <f>+'Despesa - Access'!N24</f>
        <v>855.67</v>
      </c>
    </row>
    <row r="41" spans="1:5" x14ac:dyDescent="0.2">
      <c r="A41" s="2" t="s">
        <v>59</v>
      </c>
      <c r="B41" s="2" t="s">
        <v>18</v>
      </c>
      <c r="C41" s="9">
        <f>+'Despesa - Access'!N25</f>
        <v>25811.599999999999</v>
      </c>
    </row>
    <row r="42" spans="1:5" x14ac:dyDescent="0.2">
      <c r="A42" s="2" t="s">
        <v>60</v>
      </c>
      <c r="B42" s="2" t="s">
        <v>19</v>
      </c>
      <c r="C42" s="9">
        <f>+'Despesa - Access'!N26</f>
        <v>34970.620000000003</v>
      </c>
    </row>
    <row r="43" spans="1:5" x14ac:dyDescent="0.2">
      <c r="A43" s="2" t="s">
        <v>61</v>
      </c>
      <c r="B43" s="2" t="s">
        <v>20</v>
      </c>
      <c r="C43" s="9">
        <f>+'Despesa - Access'!N27</f>
        <v>9799.7199999999993</v>
      </c>
    </row>
    <row r="44" spans="1:5" x14ac:dyDescent="0.2">
      <c r="A44" s="2" t="s">
        <v>62</v>
      </c>
      <c r="B44" s="2" t="s">
        <v>21</v>
      </c>
      <c r="C44" s="9">
        <f>+'Despesa - Access'!N28</f>
        <v>57252.6</v>
      </c>
    </row>
    <row r="45" spans="1:5" x14ac:dyDescent="0.2">
      <c r="A45" s="2" t="s">
        <v>63</v>
      </c>
      <c r="B45" s="2" t="s">
        <v>69</v>
      </c>
      <c r="C45" s="9">
        <f>+'Despesa - Access'!N29</f>
        <v>197880.7</v>
      </c>
    </row>
    <row r="46" spans="1:5" x14ac:dyDescent="0.2">
      <c r="A46" s="2" t="s">
        <v>64</v>
      </c>
      <c r="B46" s="2" t="s">
        <v>22</v>
      </c>
      <c r="C46" s="9">
        <f>+'Despesa - Access'!N30</f>
        <v>0</v>
      </c>
    </row>
    <row r="47" spans="1:5" x14ac:dyDescent="0.2">
      <c r="A47" s="2" t="s">
        <v>65</v>
      </c>
      <c r="B47" s="2" t="s">
        <v>23</v>
      </c>
      <c r="C47" s="9">
        <f>+'Despesa - Access'!N31</f>
        <v>2105149.16</v>
      </c>
    </row>
    <row r="48" spans="1:5" x14ac:dyDescent="0.2">
      <c r="A48" s="165" t="s">
        <v>70</v>
      </c>
      <c r="B48" s="165"/>
      <c r="C48" s="10">
        <f>SUM(C22:C47)</f>
        <v>20216194.030000009</v>
      </c>
      <c r="E48" s="114"/>
    </row>
    <row r="50" spans="1:5" x14ac:dyDescent="0.2">
      <c r="A50" s="4" t="s">
        <v>259</v>
      </c>
    </row>
    <row r="52" spans="1:5" x14ac:dyDescent="0.2">
      <c r="A52" s="3" t="s">
        <v>38</v>
      </c>
      <c r="B52" s="3" t="s">
        <v>39</v>
      </c>
      <c r="C52" s="11" t="s">
        <v>272</v>
      </c>
    </row>
    <row r="53" spans="1:5" x14ac:dyDescent="0.2">
      <c r="A53" s="2" t="s">
        <v>40</v>
      </c>
      <c r="B53" s="2" t="s">
        <v>25</v>
      </c>
      <c r="C53" s="9">
        <f>'Despesa - Access'!N32</f>
        <v>0</v>
      </c>
    </row>
    <row r="54" spans="1:5" x14ac:dyDescent="0.2">
      <c r="A54" s="2" t="s">
        <v>41</v>
      </c>
      <c r="B54" s="2" t="s">
        <v>26</v>
      </c>
      <c r="C54" s="9">
        <f>'Despesa - Access'!N33</f>
        <v>0</v>
      </c>
    </row>
    <row r="55" spans="1:5" x14ac:dyDescent="0.2">
      <c r="A55" s="2" t="s">
        <v>42</v>
      </c>
      <c r="B55" s="2" t="s">
        <v>66</v>
      </c>
      <c r="C55" s="9">
        <f>'Despesa - Access'!N34</f>
        <v>0</v>
      </c>
    </row>
    <row r="56" spans="1:5" x14ac:dyDescent="0.2">
      <c r="A56" s="2" t="s">
        <v>43</v>
      </c>
      <c r="B56" s="2" t="s">
        <v>27</v>
      </c>
      <c r="C56" s="9">
        <f>'Despesa - Access'!N35</f>
        <v>0</v>
      </c>
    </row>
    <row r="57" spans="1:5" x14ac:dyDescent="0.2">
      <c r="A57" s="2" t="s">
        <v>44</v>
      </c>
      <c r="B57" s="2" t="s">
        <v>28</v>
      </c>
      <c r="C57" s="9">
        <f>'Despesa - Access'!N36</f>
        <v>74862.92</v>
      </c>
    </row>
    <row r="58" spans="1:5" x14ac:dyDescent="0.2">
      <c r="A58" s="165" t="s">
        <v>70</v>
      </c>
      <c r="B58" s="165"/>
      <c r="C58" s="10">
        <f>SUM(C53:C57)</f>
        <v>74862.92</v>
      </c>
      <c r="E58" s="114"/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273</v>
      </c>
    </row>
    <row r="63" spans="1:5" x14ac:dyDescent="0.2">
      <c r="A63" s="2" t="s">
        <v>40</v>
      </c>
      <c r="B63" s="2" t="s">
        <v>30</v>
      </c>
      <c r="C63" s="9">
        <f>+'Despesa - Access'!N37</f>
        <v>0</v>
      </c>
    </row>
    <row r="64" spans="1:5" x14ac:dyDescent="0.2">
      <c r="A64" s="2" t="s">
        <v>41</v>
      </c>
      <c r="B64" s="2" t="s">
        <v>31</v>
      </c>
      <c r="C64" s="9">
        <f>+'Despesa - Access'!N38</f>
        <v>0</v>
      </c>
    </row>
    <row r="65" spans="1:3" x14ac:dyDescent="0.2">
      <c r="A65" s="165" t="s">
        <v>70</v>
      </c>
      <c r="B65" s="165"/>
      <c r="C65" s="10">
        <f>SUM(C63:C64)</f>
        <v>0</v>
      </c>
    </row>
    <row r="66" spans="1:3" x14ac:dyDescent="0.2">
      <c r="A66" s="154"/>
      <c r="B66" s="154"/>
      <c r="C66" s="15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273</v>
      </c>
    </row>
    <row r="70" spans="1:3" x14ac:dyDescent="0.2">
      <c r="A70" s="2" t="s">
        <v>40</v>
      </c>
      <c r="B70" s="2" t="s">
        <v>74</v>
      </c>
      <c r="C70" s="9">
        <f>+'Financeiro - Access'!N2</f>
        <v>101457609.44</v>
      </c>
    </row>
    <row r="71" spans="1:3" x14ac:dyDescent="0.2">
      <c r="A71" s="2" t="s">
        <v>41</v>
      </c>
      <c r="B71" s="2" t="s">
        <v>75</v>
      </c>
      <c r="C71" s="9">
        <f>+'Financeiro - Access'!N3</f>
        <v>19868030.32</v>
      </c>
    </row>
    <row r="72" spans="1:3" x14ac:dyDescent="0.2">
      <c r="A72" s="2" t="s">
        <v>42</v>
      </c>
      <c r="B72" s="2" t="s">
        <v>180</v>
      </c>
      <c r="C72" s="9">
        <f>+'Financeiro - Access'!N4</f>
        <v>118154.75</v>
      </c>
    </row>
    <row r="73" spans="1:3" x14ac:dyDescent="0.2">
      <c r="A73" s="2" t="s">
        <v>43</v>
      </c>
      <c r="B73" s="2" t="s">
        <v>268</v>
      </c>
      <c r="C73" s="9">
        <f>+'Financeiro - Access'!N5</f>
        <v>0</v>
      </c>
    </row>
    <row r="74" spans="1:3" x14ac:dyDescent="0.2">
      <c r="A74" s="165" t="s">
        <v>70</v>
      </c>
      <c r="B74" s="165"/>
      <c r="C74" s="10">
        <f>SUM(C70:C73)</f>
        <v>121443794.50999999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273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7" x14ac:dyDescent="0.2">
      <c r="A81" s="2" t="s">
        <v>42</v>
      </c>
      <c r="B81" s="2" t="s">
        <v>271</v>
      </c>
      <c r="C81" s="9"/>
    </row>
    <row r="82" spans="1:7" x14ac:dyDescent="0.2">
      <c r="A82" s="2" t="s">
        <v>43</v>
      </c>
      <c r="B82" s="2" t="s">
        <v>76</v>
      </c>
      <c r="C82" s="9">
        <f>3019680+2910977</f>
        <v>5930657</v>
      </c>
    </row>
    <row r="83" spans="1:7" x14ac:dyDescent="0.2">
      <c r="A83" s="165" t="s">
        <v>70</v>
      </c>
      <c r="B83" s="165"/>
      <c r="C83" s="10">
        <f>SUM(C79:C82)</f>
        <v>5930657</v>
      </c>
    </row>
    <row r="84" spans="1:7" x14ac:dyDescent="0.2">
      <c r="A84" s="169" t="s">
        <v>323</v>
      </c>
      <c r="B84" s="169"/>
      <c r="C84" s="169"/>
    </row>
    <row r="85" spans="1:7" x14ac:dyDescent="0.2">
      <c r="A85" s="147" t="s">
        <v>389</v>
      </c>
    </row>
    <row r="87" spans="1:7" x14ac:dyDescent="0.2">
      <c r="A87" s="157"/>
      <c r="B87" s="157"/>
      <c r="C87" s="157"/>
      <c r="D87" s="157"/>
      <c r="E87" s="157"/>
    </row>
    <row r="88" spans="1:7" x14ac:dyDescent="0.2">
      <c r="A88" s="113"/>
      <c r="B88" s="113"/>
      <c r="C88" s="113"/>
      <c r="D88"/>
      <c r="E88"/>
    </row>
    <row r="89" spans="1:7" x14ac:dyDescent="0.2">
      <c r="D89"/>
      <c r="E89"/>
    </row>
    <row r="93" spans="1:7" x14ac:dyDescent="0.2">
      <c r="G93" s="90"/>
    </row>
  </sheetData>
  <mergeCells count="16">
    <mergeCell ref="A84:C84"/>
    <mergeCell ref="A87:E87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G99"/>
  <sheetViews>
    <sheetView showGridLines="0" view="pageBreakPreview" topLeftCell="A76" zoomScale="130" zoomScaleNormal="100" zoomScaleSheetLayoutView="130" workbookViewId="0">
      <selection activeCell="F11" sqref="F1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</cols>
  <sheetData>
    <row r="1" spans="1:7" x14ac:dyDescent="0.2">
      <c r="A1" s="164" t="s">
        <v>254</v>
      </c>
      <c r="B1" s="164"/>
      <c r="C1" s="164"/>
    </row>
    <row r="3" spans="1:7" x14ac:dyDescent="0.2">
      <c r="A3" s="2" t="s">
        <v>32</v>
      </c>
      <c r="B3" s="163" t="s">
        <v>255</v>
      </c>
      <c r="C3" s="163"/>
    </row>
    <row r="4" spans="1:7" x14ac:dyDescent="0.2">
      <c r="A4" s="2" t="s">
        <v>33</v>
      </c>
      <c r="B4" s="163" t="s">
        <v>256</v>
      </c>
      <c r="C4" s="163"/>
    </row>
    <row r="5" spans="1:7" x14ac:dyDescent="0.2">
      <c r="A5" s="2" t="s">
        <v>34</v>
      </c>
      <c r="B5" s="163" t="s">
        <v>367</v>
      </c>
      <c r="C5" s="163"/>
    </row>
    <row r="6" spans="1:7" x14ac:dyDescent="0.2">
      <c r="A6" s="2" t="s">
        <v>35</v>
      </c>
      <c r="B6" s="163" t="s">
        <v>257</v>
      </c>
      <c r="C6" s="163"/>
    </row>
    <row r="7" spans="1:7" x14ac:dyDescent="0.2">
      <c r="A7" s="2" t="s">
        <v>36</v>
      </c>
      <c r="B7" s="160" t="s">
        <v>390</v>
      </c>
      <c r="C7" s="161"/>
    </row>
    <row r="8" spans="1:7" x14ac:dyDescent="0.2">
      <c r="A8" s="2" t="s">
        <v>37</v>
      </c>
      <c r="B8" s="162">
        <v>43089</v>
      </c>
      <c r="C8" s="163"/>
    </row>
    <row r="10" spans="1:7" x14ac:dyDescent="0.2">
      <c r="A10" s="4" t="s">
        <v>258</v>
      </c>
    </row>
    <row r="12" spans="1:7" x14ac:dyDescent="0.2">
      <c r="A12" s="3" t="s">
        <v>38</v>
      </c>
      <c r="B12" s="3" t="s">
        <v>39</v>
      </c>
      <c r="C12" s="11" t="s">
        <v>272</v>
      </c>
    </row>
    <row r="13" spans="1:7" x14ac:dyDescent="0.2">
      <c r="A13" s="2" t="s">
        <v>40</v>
      </c>
      <c r="B13" s="5" t="s">
        <v>1</v>
      </c>
      <c r="C13" s="10">
        <f>'Despesa - Access'!O2</f>
        <v>120431133.28</v>
      </c>
    </row>
    <row r="14" spans="1:7" x14ac:dyDescent="0.2">
      <c r="A14" s="2" t="s">
        <v>41</v>
      </c>
      <c r="B14" s="5" t="s">
        <v>2</v>
      </c>
      <c r="C14" s="10">
        <f>'Despesa - Access'!O3</f>
        <v>22794696.93</v>
      </c>
    </row>
    <row r="15" spans="1:7" x14ac:dyDescent="0.2">
      <c r="A15" s="2" t="s">
        <v>42</v>
      </c>
      <c r="B15" s="5" t="s">
        <v>266</v>
      </c>
      <c r="C15" s="10">
        <f>'Despesa - Access'!O4</f>
        <v>28486067.239999998</v>
      </c>
    </row>
    <row r="16" spans="1:7" ht="51" x14ac:dyDescent="0.2">
      <c r="A16" s="6" t="s">
        <v>43</v>
      </c>
      <c r="B16" s="5" t="s">
        <v>274</v>
      </c>
      <c r="C16" s="10">
        <f>4426.25+7833.17</f>
        <v>12259.42</v>
      </c>
      <c r="D16" s="148"/>
      <c r="E16" s="148"/>
      <c r="F16" s="148"/>
      <c r="G16" s="93"/>
    </row>
    <row r="17" spans="1:7" x14ac:dyDescent="0.2">
      <c r="A17" s="165" t="s">
        <v>70</v>
      </c>
      <c r="B17" s="165"/>
      <c r="C17" s="10">
        <f>SUM(C13:C16)</f>
        <v>171724156.87</v>
      </c>
      <c r="D17" s="149"/>
      <c r="E17" s="149"/>
      <c r="F17" s="149"/>
      <c r="G17" s="93"/>
    </row>
    <row r="18" spans="1:7" x14ac:dyDescent="0.2">
      <c r="D18" s="129"/>
      <c r="E18" s="129"/>
      <c r="F18" s="129"/>
      <c r="G18" s="93"/>
    </row>
    <row r="19" spans="1:7" x14ac:dyDescent="0.2">
      <c r="A19" s="4" t="s">
        <v>71</v>
      </c>
      <c r="D19" s="129"/>
      <c r="E19" s="129"/>
      <c r="F19" s="129"/>
      <c r="G19" s="93"/>
    </row>
    <row r="20" spans="1:7" x14ac:dyDescent="0.2">
      <c r="D20" s="129"/>
      <c r="E20" s="129"/>
      <c r="F20" s="129"/>
      <c r="G20" s="93"/>
    </row>
    <row r="21" spans="1:7" x14ac:dyDescent="0.2">
      <c r="A21" s="3" t="s">
        <v>38</v>
      </c>
      <c r="B21" s="3" t="s">
        <v>39</v>
      </c>
      <c r="C21" s="11" t="s">
        <v>273</v>
      </c>
      <c r="D21" s="129"/>
      <c r="E21" s="129"/>
      <c r="F21" s="129"/>
      <c r="G21" s="93"/>
    </row>
    <row r="22" spans="1:7" x14ac:dyDescent="0.2">
      <c r="A22" s="2" t="s">
        <v>40</v>
      </c>
      <c r="B22" s="2" t="s">
        <v>3</v>
      </c>
      <c r="C22" s="9">
        <f>'Despesa - Access'!O6</f>
        <v>150470.79</v>
      </c>
      <c r="D22" s="129"/>
      <c r="E22" s="129"/>
      <c r="F22" s="129"/>
      <c r="G22" s="93"/>
    </row>
    <row r="23" spans="1:7" x14ac:dyDescent="0.2">
      <c r="A23" s="2" t="s">
        <v>41</v>
      </c>
      <c r="B23" s="2" t="s">
        <v>4</v>
      </c>
      <c r="C23" s="9">
        <f>'Despesa - Access'!O7</f>
        <v>4088339.12</v>
      </c>
      <c r="D23" s="129"/>
      <c r="E23" s="129"/>
      <c r="F23" s="129"/>
      <c r="G23" s="93"/>
    </row>
    <row r="24" spans="1:7" x14ac:dyDescent="0.2">
      <c r="A24" s="2" t="s">
        <v>42</v>
      </c>
      <c r="B24" s="2" t="s">
        <v>5</v>
      </c>
      <c r="C24" s="9">
        <f>'Despesa - Access'!O8</f>
        <v>601140</v>
      </c>
      <c r="D24" s="129"/>
      <c r="E24" s="129"/>
      <c r="F24" s="129"/>
      <c r="G24" s="93"/>
    </row>
    <row r="25" spans="1:7" x14ac:dyDescent="0.2">
      <c r="A25" s="2" t="s">
        <v>43</v>
      </c>
      <c r="B25" s="2" t="s">
        <v>6</v>
      </c>
      <c r="C25" s="9">
        <f>'Despesa - Access'!O9</f>
        <v>2075275.08</v>
      </c>
      <c r="D25" s="129"/>
      <c r="E25" s="129"/>
      <c r="F25" s="129"/>
      <c r="G25" s="93"/>
    </row>
    <row r="26" spans="1:7" x14ac:dyDescent="0.2">
      <c r="A26" s="2" t="s">
        <v>44</v>
      </c>
      <c r="B26" s="2" t="s">
        <v>7</v>
      </c>
      <c r="C26" s="9">
        <f>'Despesa - Access'!O10</f>
        <v>126469.41</v>
      </c>
      <c r="D26" s="129"/>
      <c r="E26" s="129"/>
      <c r="F26" s="129"/>
      <c r="G26" s="93"/>
    </row>
    <row r="27" spans="1:7" x14ac:dyDescent="0.2">
      <c r="A27" s="2" t="s">
        <v>45</v>
      </c>
      <c r="B27" s="2" t="s">
        <v>67</v>
      </c>
      <c r="C27" s="9">
        <f>'Despesa - Access'!O11</f>
        <v>40308.04</v>
      </c>
      <c r="D27" s="129"/>
      <c r="E27" s="129"/>
      <c r="F27" s="129"/>
      <c r="G27" s="93"/>
    </row>
    <row r="28" spans="1:7" x14ac:dyDescent="0.2">
      <c r="A28" s="2" t="s">
        <v>46</v>
      </c>
      <c r="B28" s="2" t="s">
        <v>8</v>
      </c>
      <c r="C28" s="9">
        <f>'Despesa - Access'!O12</f>
        <v>2439966.86</v>
      </c>
      <c r="D28" s="129"/>
      <c r="E28" s="129"/>
      <c r="F28" s="129"/>
      <c r="G28" s="93"/>
    </row>
    <row r="29" spans="1:7" x14ac:dyDescent="0.2">
      <c r="A29" s="2" t="s">
        <v>47</v>
      </c>
      <c r="B29" s="2" t="s">
        <v>9</v>
      </c>
      <c r="C29" s="9">
        <f>'Despesa - Access'!O13</f>
        <v>2595438.67</v>
      </c>
      <c r="D29" s="129"/>
      <c r="E29" s="129"/>
      <c r="F29" s="129"/>
      <c r="G29" s="93"/>
    </row>
    <row r="30" spans="1:7" x14ac:dyDescent="0.2">
      <c r="A30" s="2" t="s">
        <v>48</v>
      </c>
      <c r="B30" s="2" t="s">
        <v>10</v>
      </c>
      <c r="C30" s="9">
        <f>'Despesa - Access'!O14</f>
        <v>166959.07</v>
      </c>
      <c r="D30" s="129"/>
      <c r="E30" s="129"/>
      <c r="F30" s="129"/>
      <c r="G30" s="93"/>
    </row>
    <row r="31" spans="1:7" x14ac:dyDescent="0.2">
      <c r="A31" s="2" t="s">
        <v>49</v>
      </c>
      <c r="B31" s="2" t="s">
        <v>11</v>
      </c>
      <c r="C31" s="9">
        <f>'Despesa - Access'!O15</f>
        <v>636520.47</v>
      </c>
      <c r="D31" s="129"/>
      <c r="E31" s="129"/>
      <c r="F31" s="129"/>
      <c r="G31" s="93"/>
    </row>
    <row r="32" spans="1:7" x14ac:dyDescent="0.2">
      <c r="A32" s="2" t="s">
        <v>50</v>
      </c>
      <c r="B32" s="2" t="s">
        <v>12</v>
      </c>
      <c r="C32" s="9">
        <f>'Despesa - Access'!O16</f>
        <v>64000.17</v>
      </c>
      <c r="D32" s="129"/>
      <c r="E32" s="129"/>
      <c r="F32" s="129"/>
      <c r="G32" s="93"/>
    </row>
    <row r="33" spans="1:7" x14ac:dyDescent="0.2">
      <c r="A33" s="2" t="s">
        <v>51</v>
      </c>
      <c r="B33" s="2" t="s">
        <v>13</v>
      </c>
      <c r="C33" s="9">
        <f>'Despesa - Access'!O17</f>
        <v>582145.57999999996</v>
      </c>
      <c r="D33" s="129"/>
      <c r="E33" s="129"/>
      <c r="F33" s="129"/>
      <c r="G33" s="93"/>
    </row>
    <row r="34" spans="1:7" ht="63.75" x14ac:dyDescent="0.2">
      <c r="A34" s="6" t="s">
        <v>52</v>
      </c>
      <c r="B34" s="7" t="s">
        <v>277</v>
      </c>
      <c r="C34" s="9">
        <f>'Despesa - Access'!O18</f>
        <v>379671.13</v>
      </c>
      <c r="D34" s="129"/>
      <c r="E34" s="129"/>
      <c r="F34" s="150"/>
      <c r="G34" s="93"/>
    </row>
    <row r="35" spans="1:7" x14ac:dyDescent="0.2">
      <c r="A35" s="2" t="s">
        <v>53</v>
      </c>
      <c r="B35" s="2" t="s">
        <v>14</v>
      </c>
      <c r="C35" s="9">
        <f>'Despesa - Access'!O19</f>
        <v>1716257.86</v>
      </c>
      <c r="D35" s="129"/>
      <c r="E35" s="129"/>
      <c r="F35" s="149"/>
      <c r="G35" s="93"/>
    </row>
    <row r="36" spans="1:7" x14ac:dyDescent="0.2">
      <c r="A36" s="2" t="s">
        <v>54</v>
      </c>
      <c r="B36" s="2" t="s">
        <v>267</v>
      </c>
      <c r="C36" s="9">
        <f>'Despesa - Access'!O20</f>
        <v>2573597.6</v>
      </c>
      <c r="D36" s="129"/>
      <c r="E36" s="129"/>
      <c r="F36" s="129"/>
      <c r="G36" s="93"/>
    </row>
    <row r="37" spans="1:7" x14ac:dyDescent="0.2">
      <c r="A37" s="2" t="s">
        <v>55</v>
      </c>
      <c r="B37" s="2" t="s">
        <v>15</v>
      </c>
      <c r="C37" s="9">
        <f>'Despesa - Access'!O21</f>
        <v>339.96</v>
      </c>
      <c r="D37" s="129"/>
      <c r="E37" s="129"/>
      <c r="F37" s="129"/>
      <c r="G37" s="93"/>
    </row>
    <row r="38" spans="1:7" ht="25.5" x14ac:dyDescent="0.2">
      <c r="A38" s="6" t="s">
        <v>56</v>
      </c>
      <c r="B38" s="26" t="s">
        <v>68</v>
      </c>
      <c r="C38" s="9">
        <f>'Despesa - Access'!O22</f>
        <v>896402.88</v>
      </c>
      <c r="D38" s="129"/>
      <c r="E38" s="129"/>
      <c r="F38" s="129"/>
      <c r="G38" s="93"/>
    </row>
    <row r="39" spans="1:7" x14ac:dyDescent="0.2">
      <c r="A39" s="2" t="s">
        <v>57</v>
      </c>
      <c r="B39" s="2" t="s">
        <v>16</v>
      </c>
      <c r="C39" s="9">
        <f>'Despesa - Access'!O23</f>
        <v>145575.06</v>
      </c>
      <c r="D39" s="129"/>
      <c r="E39" s="129"/>
      <c r="F39" s="129"/>
      <c r="G39" s="93"/>
    </row>
    <row r="40" spans="1:7" x14ac:dyDescent="0.2">
      <c r="A40" s="2" t="s">
        <v>58</v>
      </c>
      <c r="B40" s="2" t="s">
        <v>17</v>
      </c>
      <c r="C40" s="9">
        <f>'Despesa - Access'!O24</f>
        <v>14100</v>
      </c>
      <c r="D40" s="129"/>
      <c r="E40" s="129"/>
      <c r="F40" s="129"/>
      <c r="G40" s="93"/>
    </row>
    <row r="41" spans="1:7" x14ac:dyDescent="0.2">
      <c r="A41" s="2" t="s">
        <v>59</v>
      </c>
      <c r="B41" s="2" t="s">
        <v>18</v>
      </c>
      <c r="C41" s="9">
        <f>'Despesa - Access'!O25</f>
        <v>36000</v>
      </c>
      <c r="D41" s="129"/>
      <c r="E41" s="129"/>
      <c r="F41" s="129"/>
      <c r="G41" s="93"/>
    </row>
    <row r="42" spans="1:7" x14ac:dyDescent="0.2">
      <c r="A42" s="2" t="s">
        <v>60</v>
      </c>
      <c r="B42" s="2" t="s">
        <v>19</v>
      </c>
      <c r="C42" s="9">
        <f>'Despesa - Access'!O26</f>
        <v>59083.48</v>
      </c>
      <c r="D42" s="129"/>
      <c r="E42" s="129"/>
      <c r="F42" s="129"/>
      <c r="G42" s="93"/>
    </row>
    <row r="43" spans="1:7" x14ac:dyDescent="0.2">
      <c r="A43" s="2" t="s">
        <v>61</v>
      </c>
      <c r="B43" s="2" t="s">
        <v>20</v>
      </c>
      <c r="C43" s="9">
        <f>'Despesa - Access'!O27</f>
        <v>8050</v>
      </c>
      <c r="D43" s="129"/>
      <c r="E43" s="129"/>
      <c r="F43" s="129"/>
      <c r="G43" s="93"/>
    </row>
    <row r="44" spans="1:7" x14ac:dyDescent="0.2">
      <c r="A44" s="2" t="s">
        <v>62</v>
      </c>
      <c r="B44" s="2" t="s">
        <v>21</v>
      </c>
      <c r="C44" s="9">
        <f>'Despesa - Access'!O28</f>
        <v>57353.57</v>
      </c>
      <c r="D44" s="129"/>
      <c r="E44" s="129"/>
      <c r="F44" s="129"/>
      <c r="G44" s="93"/>
    </row>
    <row r="45" spans="1:7" x14ac:dyDescent="0.2">
      <c r="A45" s="2" t="s">
        <v>63</v>
      </c>
      <c r="B45" s="2" t="s">
        <v>69</v>
      </c>
      <c r="C45" s="9">
        <f>'Despesa - Access'!O29</f>
        <v>769935.29</v>
      </c>
      <c r="D45" s="129"/>
      <c r="E45" s="129"/>
      <c r="F45" s="129"/>
      <c r="G45" s="93"/>
    </row>
    <row r="46" spans="1:7" x14ac:dyDescent="0.2">
      <c r="A46" s="2" t="s">
        <v>64</v>
      </c>
      <c r="B46" s="2" t="s">
        <v>22</v>
      </c>
      <c r="C46" s="9">
        <f>'Despesa - Access'!O30</f>
        <v>0</v>
      </c>
      <c r="D46" s="129"/>
      <c r="E46" s="129"/>
      <c r="F46" s="129"/>
      <c r="G46" s="93"/>
    </row>
    <row r="47" spans="1:7" x14ac:dyDescent="0.2">
      <c r="A47" s="2" t="s">
        <v>65</v>
      </c>
      <c r="B47" s="2" t="s">
        <v>23</v>
      </c>
      <c r="C47" s="9">
        <f>'Despesa - Access'!O31</f>
        <v>1325643.67</v>
      </c>
      <c r="D47" s="148"/>
      <c r="E47" s="148"/>
      <c r="F47" s="148"/>
      <c r="G47" s="93"/>
    </row>
    <row r="48" spans="1:7" x14ac:dyDescent="0.2">
      <c r="A48" s="165" t="s">
        <v>70</v>
      </c>
      <c r="B48" s="165"/>
      <c r="C48" s="10">
        <f>SUM(C22:C47)</f>
        <v>21549043.759999998</v>
      </c>
      <c r="D48" s="149"/>
      <c r="E48" s="149"/>
      <c r="F48" s="149"/>
      <c r="G48" s="93"/>
    </row>
    <row r="49" spans="1:7" x14ac:dyDescent="0.2">
      <c r="D49" s="129"/>
      <c r="E49" s="129"/>
      <c r="F49" s="129"/>
      <c r="G49" s="93"/>
    </row>
    <row r="50" spans="1:7" x14ac:dyDescent="0.2">
      <c r="A50" s="4" t="s">
        <v>259</v>
      </c>
      <c r="D50" s="129"/>
      <c r="E50" s="129"/>
      <c r="F50" s="129"/>
      <c r="G50" s="93"/>
    </row>
    <row r="51" spans="1:7" x14ac:dyDescent="0.2">
      <c r="D51" s="129"/>
      <c r="E51" s="129"/>
      <c r="F51" s="129"/>
      <c r="G51" s="93"/>
    </row>
    <row r="52" spans="1:7" x14ac:dyDescent="0.2">
      <c r="A52" s="3" t="s">
        <v>38</v>
      </c>
      <c r="B52" s="3" t="s">
        <v>39</v>
      </c>
      <c r="C52" s="11" t="s">
        <v>273</v>
      </c>
      <c r="D52" s="129"/>
      <c r="E52" s="129"/>
      <c r="F52" s="129"/>
      <c r="G52" s="93"/>
    </row>
    <row r="53" spans="1:7" x14ac:dyDescent="0.2">
      <c r="A53" s="2" t="s">
        <v>40</v>
      </c>
      <c r="B53" s="2" t="s">
        <v>25</v>
      </c>
      <c r="C53" s="9">
        <f>'Despesa - Access'!O32</f>
        <v>26450.14</v>
      </c>
      <c r="D53" s="129"/>
      <c r="E53" s="129"/>
      <c r="F53" s="129"/>
      <c r="G53" s="93"/>
    </row>
    <row r="54" spans="1:7" x14ac:dyDescent="0.2">
      <c r="A54" s="2" t="s">
        <v>41</v>
      </c>
      <c r="B54" s="2" t="s">
        <v>26</v>
      </c>
      <c r="C54" s="9">
        <f>'Despesa - Access'!O33</f>
        <v>0</v>
      </c>
      <c r="D54" s="129"/>
      <c r="E54" s="129"/>
      <c r="F54" s="129"/>
      <c r="G54" s="93"/>
    </row>
    <row r="55" spans="1:7" x14ac:dyDescent="0.2">
      <c r="A55" s="2" t="s">
        <v>42</v>
      </c>
      <c r="B55" s="2" t="s">
        <v>66</v>
      </c>
      <c r="C55" s="9">
        <f>'Despesa - Access'!O34</f>
        <v>0</v>
      </c>
      <c r="D55" s="129"/>
      <c r="E55" s="129"/>
      <c r="F55" s="129"/>
      <c r="G55" s="93"/>
    </row>
    <row r="56" spans="1:7" x14ac:dyDescent="0.2">
      <c r="A56" s="2" t="s">
        <v>43</v>
      </c>
      <c r="B56" s="2" t="s">
        <v>27</v>
      </c>
      <c r="C56" s="9">
        <f>'Despesa - Access'!O35</f>
        <v>0</v>
      </c>
      <c r="D56" s="129"/>
      <c r="E56" s="129"/>
      <c r="F56" s="129"/>
      <c r="G56" s="93"/>
    </row>
    <row r="57" spans="1:7" x14ac:dyDescent="0.2">
      <c r="A57" s="2" t="s">
        <v>44</v>
      </c>
      <c r="B57" s="2" t="s">
        <v>28</v>
      </c>
      <c r="C57" s="9">
        <f>'Despesa - Access'!O36</f>
        <v>699912.62</v>
      </c>
      <c r="D57" s="148"/>
      <c r="E57" s="148"/>
      <c r="F57" s="148"/>
      <c r="G57" s="93"/>
    </row>
    <row r="58" spans="1:7" x14ac:dyDescent="0.2">
      <c r="A58" s="165" t="s">
        <v>70</v>
      </c>
      <c r="B58" s="165"/>
      <c r="C58" s="10">
        <f>SUM(C53:C57)</f>
        <v>726362.76</v>
      </c>
      <c r="D58" s="149"/>
      <c r="E58" s="149"/>
      <c r="F58" s="149"/>
      <c r="G58" s="93"/>
    </row>
    <row r="59" spans="1:7" x14ac:dyDescent="0.2">
      <c r="D59" s="129"/>
      <c r="E59" s="129"/>
      <c r="F59" s="129"/>
      <c r="G59" s="93"/>
    </row>
    <row r="60" spans="1:7" x14ac:dyDescent="0.2">
      <c r="A60" s="4" t="s">
        <v>72</v>
      </c>
    </row>
    <row r="62" spans="1:7" x14ac:dyDescent="0.2">
      <c r="A62" s="3" t="s">
        <v>38</v>
      </c>
      <c r="B62" s="3" t="s">
        <v>39</v>
      </c>
      <c r="C62" s="11" t="s">
        <v>273</v>
      </c>
    </row>
    <row r="63" spans="1:7" x14ac:dyDescent="0.2">
      <c r="A63" s="2" t="s">
        <v>40</v>
      </c>
      <c r="B63" s="2" t="s">
        <v>30</v>
      </c>
      <c r="C63" s="9">
        <f>'Despesa - Access'!O37</f>
        <v>0</v>
      </c>
    </row>
    <row r="64" spans="1:7" x14ac:dyDescent="0.2">
      <c r="A64" s="2" t="s">
        <v>41</v>
      </c>
      <c r="B64" s="2" t="s">
        <v>31</v>
      </c>
      <c r="C64" s="9">
        <f>'Despesa - Access'!O38</f>
        <v>0</v>
      </c>
    </row>
    <row r="65" spans="1:3" x14ac:dyDescent="0.2">
      <c r="A65" s="165" t="s">
        <v>70</v>
      </c>
      <c r="B65" s="165"/>
      <c r="C65" s="10">
        <f>SUM(C63:C64)</f>
        <v>0</v>
      </c>
    </row>
    <row r="66" spans="1:3" x14ac:dyDescent="0.2">
      <c r="A66" s="154"/>
      <c r="B66" s="154"/>
      <c r="C66" s="15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273</v>
      </c>
    </row>
    <row r="70" spans="1:3" x14ac:dyDescent="0.2">
      <c r="A70" s="2" t="s">
        <v>40</v>
      </c>
      <c r="B70" s="2" t="s">
        <v>74</v>
      </c>
      <c r="C70" s="9">
        <f>'Financeiro - Access'!O2</f>
        <v>171754945.11000001</v>
      </c>
    </row>
    <row r="71" spans="1:3" x14ac:dyDescent="0.2">
      <c r="A71" s="2" t="s">
        <v>41</v>
      </c>
      <c r="B71" s="2" t="s">
        <v>75</v>
      </c>
      <c r="C71" s="9">
        <f>'Financeiro - Access'!O3</f>
        <v>22349347.32</v>
      </c>
    </row>
    <row r="72" spans="1:3" x14ac:dyDescent="0.2">
      <c r="A72" s="2" t="s">
        <v>42</v>
      </c>
      <c r="B72" s="2" t="s">
        <v>180</v>
      </c>
      <c r="C72" s="9">
        <f>'Financeiro - Access'!O4</f>
        <v>5090865.7300000004</v>
      </c>
    </row>
    <row r="73" spans="1:3" x14ac:dyDescent="0.2">
      <c r="A73" s="2" t="s">
        <v>43</v>
      </c>
      <c r="B73" s="2" t="s">
        <v>268</v>
      </c>
      <c r="C73" s="9">
        <f>'Financeiro - Access'!O5</f>
        <v>0</v>
      </c>
    </row>
    <row r="74" spans="1:3" x14ac:dyDescent="0.2">
      <c r="A74" s="165" t="s">
        <v>70</v>
      </c>
      <c r="B74" s="165"/>
      <c r="C74" s="10">
        <f>SUM(C70:C73)</f>
        <v>199195158.16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273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7" x14ac:dyDescent="0.2">
      <c r="A81" s="2" t="s">
        <v>42</v>
      </c>
      <c r="B81" s="2" t="s">
        <v>271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5" t="s">
        <v>70</v>
      </c>
      <c r="B83" s="165"/>
      <c r="C83" s="10">
        <f>SUM(C79:C82)</f>
        <v>0</v>
      </c>
    </row>
    <row r="84" spans="1:7" x14ac:dyDescent="0.2">
      <c r="A84" s="169" t="s">
        <v>323</v>
      </c>
      <c r="B84" s="169"/>
      <c r="C84" s="169"/>
    </row>
    <row r="87" spans="1:7" x14ac:dyDescent="0.2">
      <c r="A87" s="157" t="s">
        <v>98</v>
      </c>
      <c r="B87" s="157"/>
      <c r="C87" s="157"/>
      <c r="D87" s="157"/>
      <c r="E87" s="157"/>
    </row>
    <row r="88" spans="1:7" x14ac:dyDescent="0.2">
      <c r="A88" s="115"/>
      <c r="B88" s="115"/>
      <c r="C88" s="115"/>
    </row>
    <row r="89" spans="1:7" x14ac:dyDescent="0.2">
      <c r="C89" s="11" t="s">
        <v>109</v>
      </c>
      <c r="D89" s="3" t="s">
        <v>108</v>
      </c>
      <c r="E89" s="3" t="s">
        <v>70</v>
      </c>
    </row>
    <row r="90" spans="1:7" x14ac:dyDescent="0.2">
      <c r="A90" s="155"/>
      <c r="B90" s="156"/>
      <c r="C90" s="9">
        <v>0</v>
      </c>
      <c r="D90" s="9">
        <f>'Anexo I - Jan'!C89</f>
        <v>0</v>
      </c>
      <c r="E90" s="9">
        <f>C90-D90</f>
        <v>0</v>
      </c>
    </row>
    <row r="91" spans="1:7" x14ac:dyDescent="0.2">
      <c r="A91" s="155" t="s">
        <v>366</v>
      </c>
      <c r="B91" s="156"/>
      <c r="C91" s="9">
        <v>1451873951.1500001</v>
      </c>
      <c r="D91" s="9" t="e">
        <f>'Anexo I - Out'!#REF!</f>
        <v>#REF!</v>
      </c>
      <c r="E91" s="9" t="e">
        <f>C91-D91</f>
        <v>#REF!</v>
      </c>
    </row>
    <row r="92" spans="1:7" x14ac:dyDescent="0.2">
      <c r="A92" s="155" t="s">
        <v>125</v>
      </c>
      <c r="B92" s="156"/>
      <c r="C92" s="9">
        <v>0</v>
      </c>
      <c r="D92" s="9">
        <f>'Anexo I - Jan'!C91</f>
        <v>0</v>
      </c>
      <c r="E92" s="9">
        <f>C92-D92</f>
        <v>0</v>
      </c>
    </row>
    <row r="93" spans="1:7" x14ac:dyDescent="0.2">
      <c r="A93" s="163" t="s">
        <v>96</v>
      </c>
      <c r="B93" s="163"/>
      <c r="C93" s="163"/>
      <c r="D93" s="163"/>
      <c r="E93" s="27" t="e">
        <f>SUM(E90:E92)</f>
        <v>#REF!</v>
      </c>
      <c r="F93" s="8" t="e">
        <f>+E94-E93</f>
        <v>#REF!</v>
      </c>
      <c r="G93" s="90" t="s">
        <v>279</v>
      </c>
    </row>
    <row r="94" spans="1:7" x14ac:dyDescent="0.2">
      <c r="A94" s="163" t="s">
        <v>97</v>
      </c>
      <c r="B94" s="163"/>
      <c r="C94" s="163"/>
      <c r="D94" s="163"/>
      <c r="E94" s="27">
        <f>$C$17+$C$48+$C$58+$C$65</f>
        <v>193999563.38999999</v>
      </c>
    </row>
    <row r="96" spans="1:7" x14ac:dyDescent="0.2">
      <c r="D96" s="86" t="s">
        <v>278</v>
      </c>
      <c r="E96" s="91">
        <f>193987303.97</f>
        <v>193987303.97</v>
      </c>
      <c r="F96" s="93">
        <f>IF(E96="DIFERENÇA",E93-E92,0)</f>
        <v>0</v>
      </c>
    </row>
    <row r="97" spans="3:5" x14ac:dyDescent="0.2">
      <c r="C97"/>
      <c r="E97" s="88" t="e">
        <f>IF(E93=E94,"despesa OK","DIFERENÇA")</f>
        <v>#REF!</v>
      </c>
    </row>
    <row r="98" spans="3:5" x14ac:dyDescent="0.2">
      <c r="E98" s="8">
        <f>E94-E96</f>
        <v>12259.419999986887</v>
      </c>
    </row>
    <row r="99" spans="3:5" x14ac:dyDescent="0.2">
      <c r="E99" t="s">
        <v>322</v>
      </c>
    </row>
  </sheetData>
  <mergeCells count="21">
    <mergeCell ref="A84:C84"/>
    <mergeCell ref="A66:C66"/>
    <mergeCell ref="B7:C7"/>
    <mergeCell ref="B8:C8"/>
    <mergeCell ref="A17:B17"/>
    <mergeCell ref="A83:B83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A94:D94"/>
    <mergeCell ref="A87:E87"/>
    <mergeCell ref="A90:B90"/>
    <mergeCell ref="A91:B91"/>
    <mergeCell ref="A92:B92"/>
    <mergeCell ref="A93:D93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L101"/>
  <sheetViews>
    <sheetView showGridLines="0" view="pageBreakPreview" topLeftCell="A37" zoomScale="115" zoomScaleNormal="100" zoomScaleSheetLayoutView="115" workbookViewId="0">
      <selection activeCell="F11" sqref="F1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6.5703125" style="33" bestFit="1" customWidth="1"/>
    <col min="5" max="5" width="19.140625" style="33" bestFit="1" customWidth="1"/>
    <col min="6" max="6" width="30.7109375" customWidth="1"/>
    <col min="7" max="7" width="14" bestFit="1" customWidth="1"/>
    <col min="8" max="8" width="11.7109375" bestFit="1" customWidth="1"/>
    <col min="11" max="11" width="14" bestFit="1" customWidth="1"/>
  </cols>
  <sheetData>
    <row r="1" spans="1:7" x14ac:dyDescent="0.2">
      <c r="A1" s="164" t="s">
        <v>254</v>
      </c>
      <c r="B1" s="164"/>
      <c r="C1" s="164"/>
    </row>
    <row r="3" spans="1:7" x14ac:dyDescent="0.2">
      <c r="A3" s="2" t="s">
        <v>32</v>
      </c>
      <c r="B3" s="163" t="s">
        <v>255</v>
      </c>
      <c r="C3" s="163"/>
    </row>
    <row r="4" spans="1:7" x14ac:dyDescent="0.2">
      <c r="A4" s="2" t="s">
        <v>33</v>
      </c>
      <c r="B4" s="163" t="s">
        <v>256</v>
      </c>
      <c r="C4" s="163"/>
    </row>
    <row r="5" spans="1:7" x14ac:dyDescent="0.2">
      <c r="A5" s="2" t="s">
        <v>34</v>
      </c>
      <c r="B5" s="163" t="s">
        <v>367</v>
      </c>
      <c r="C5" s="163"/>
    </row>
    <row r="6" spans="1:7" x14ac:dyDescent="0.2">
      <c r="A6" s="2" t="s">
        <v>35</v>
      </c>
      <c r="B6" s="163" t="s">
        <v>257</v>
      </c>
      <c r="C6" s="163"/>
    </row>
    <row r="7" spans="1:7" x14ac:dyDescent="0.2">
      <c r="A7" s="2" t="s">
        <v>36</v>
      </c>
      <c r="B7" s="160" t="s">
        <v>401</v>
      </c>
      <c r="C7" s="161"/>
    </row>
    <row r="8" spans="1:7" x14ac:dyDescent="0.2">
      <c r="A8" s="2" t="s">
        <v>37</v>
      </c>
      <c r="B8" s="162">
        <v>43119</v>
      </c>
      <c r="C8" s="163"/>
    </row>
    <row r="10" spans="1:7" x14ac:dyDescent="0.2">
      <c r="A10" s="4" t="s">
        <v>258</v>
      </c>
    </row>
    <row r="12" spans="1:7" x14ac:dyDescent="0.2">
      <c r="A12" s="3" t="s">
        <v>38</v>
      </c>
      <c r="B12" s="3" t="s">
        <v>39</v>
      </c>
      <c r="C12" s="11" t="s">
        <v>272</v>
      </c>
    </row>
    <row r="13" spans="1:7" x14ac:dyDescent="0.2">
      <c r="A13" s="2" t="s">
        <v>40</v>
      </c>
      <c r="B13" s="5" t="s">
        <v>1</v>
      </c>
      <c r="C13" s="10">
        <f>'Despesa - Access'!P2</f>
        <v>79344926.290000007</v>
      </c>
    </row>
    <row r="14" spans="1:7" x14ac:dyDescent="0.2">
      <c r="A14" s="2" t="s">
        <v>41</v>
      </c>
      <c r="B14" s="5" t="s">
        <v>2</v>
      </c>
      <c r="C14" s="10">
        <f>'Despesa - Access'!P3</f>
        <v>16217890.609999999</v>
      </c>
    </row>
    <row r="15" spans="1:7" x14ac:dyDescent="0.2">
      <c r="A15" s="2" t="s">
        <v>42</v>
      </c>
      <c r="B15" s="5" t="s">
        <v>266</v>
      </c>
      <c r="C15" s="10">
        <f>'Despesa - Access'!P4</f>
        <v>14215634.15</v>
      </c>
    </row>
    <row r="16" spans="1:7" ht="51" x14ac:dyDescent="0.2">
      <c r="A16" s="6" t="s">
        <v>43</v>
      </c>
      <c r="B16" s="5" t="s">
        <v>274</v>
      </c>
      <c r="C16" s="10">
        <v>11928.3</v>
      </c>
      <c r="D16" s="148" t="s">
        <v>391</v>
      </c>
      <c r="E16" s="148" t="s">
        <v>392</v>
      </c>
      <c r="F16" s="148" t="s">
        <v>393</v>
      </c>
      <c r="G16" s="93"/>
    </row>
    <row r="17" spans="1:8" x14ac:dyDescent="0.2">
      <c r="A17" s="165" t="s">
        <v>70</v>
      </c>
      <c r="B17" s="165"/>
      <c r="C17" s="10">
        <f>SUM(C13:C16)</f>
        <v>109790379.35000001</v>
      </c>
      <c r="D17" s="149">
        <v>117443641.14</v>
      </c>
      <c r="E17" s="149">
        <f>-2267450</f>
        <v>-2267450</v>
      </c>
      <c r="F17" s="149">
        <v>-5397740.0899999999</v>
      </c>
      <c r="G17" s="93">
        <f>+D17+E17+F17</f>
        <v>109778451.05</v>
      </c>
      <c r="H17" s="8">
        <f>+G17-C17</f>
        <v>-11928.300000011921</v>
      </c>
    </row>
    <row r="18" spans="1:8" x14ac:dyDescent="0.2">
      <c r="D18" s="129"/>
      <c r="E18" s="129"/>
      <c r="F18" s="129"/>
      <c r="G18" s="93"/>
    </row>
    <row r="19" spans="1:8" x14ac:dyDescent="0.2">
      <c r="A19" s="4" t="s">
        <v>71</v>
      </c>
      <c r="D19" s="129"/>
      <c r="E19" s="129"/>
      <c r="F19" s="129"/>
      <c r="G19" s="93"/>
    </row>
    <row r="20" spans="1:8" x14ac:dyDescent="0.2">
      <c r="D20" s="129"/>
      <c r="E20" s="129"/>
      <c r="F20" s="129"/>
      <c r="G20" s="93"/>
    </row>
    <row r="21" spans="1:8" x14ac:dyDescent="0.2">
      <c r="A21" s="3" t="s">
        <v>38</v>
      </c>
      <c r="B21" s="3" t="s">
        <v>39</v>
      </c>
      <c r="C21" s="11" t="s">
        <v>273</v>
      </c>
      <c r="D21" s="129"/>
      <c r="E21" s="129"/>
      <c r="F21" s="129"/>
      <c r="G21" s="93"/>
    </row>
    <row r="22" spans="1:8" x14ac:dyDescent="0.2">
      <c r="A22" s="2" t="s">
        <v>40</v>
      </c>
      <c r="B22" s="2" t="s">
        <v>3</v>
      </c>
      <c r="C22" s="9">
        <f>'Despesa - Access'!P6</f>
        <v>-160027.18</v>
      </c>
      <c r="D22" s="129"/>
      <c r="E22" s="129"/>
      <c r="F22" s="129"/>
      <c r="G22" s="93"/>
    </row>
    <row r="23" spans="1:8" x14ac:dyDescent="0.2">
      <c r="A23" s="2" t="s">
        <v>41</v>
      </c>
      <c r="B23" s="2" t="s">
        <v>4</v>
      </c>
      <c r="C23" s="9">
        <f>'Despesa - Access'!P7</f>
        <v>3858775.85</v>
      </c>
      <c r="D23" s="129"/>
      <c r="E23" s="129"/>
      <c r="F23" s="129"/>
      <c r="G23" s="93"/>
    </row>
    <row r="24" spans="1:8" x14ac:dyDescent="0.2">
      <c r="A24" s="2" t="s">
        <v>42</v>
      </c>
      <c r="B24" s="2" t="s">
        <v>5</v>
      </c>
      <c r="C24" s="9">
        <f>'Despesa - Access'!P8</f>
        <v>592049.4</v>
      </c>
      <c r="D24" s="129"/>
      <c r="E24" s="129"/>
      <c r="F24" s="129"/>
      <c r="G24" s="93"/>
    </row>
    <row r="25" spans="1:8" x14ac:dyDescent="0.2">
      <c r="A25" s="2" t="s">
        <v>43</v>
      </c>
      <c r="B25" s="2" t="s">
        <v>6</v>
      </c>
      <c r="C25" s="9">
        <f>'Despesa - Access'!P9</f>
        <v>-1445756.22</v>
      </c>
      <c r="D25" s="129"/>
      <c r="E25" s="129"/>
      <c r="F25" s="129"/>
      <c r="G25" s="93"/>
    </row>
    <row r="26" spans="1:8" x14ac:dyDescent="0.2">
      <c r="A26" s="2" t="s">
        <v>44</v>
      </c>
      <c r="B26" s="2" t="s">
        <v>7</v>
      </c>
      <c r="C26" s="9">
        <f>'Despesa - Access'!P10</f>
        <v>213657.66</v>
      </c>
      <c r="D26" s="129"/>
      <c r="E26" s="129"/>
      <c r="F26" s="129"/>
      <c r="G26" s="93"/>
    </row>
    <row r="27" spans="1:8" x14ac:dyDescent="0.2">
      <c r="A27" s="2" t="s">
        <v>45</v>
      </c>
      <c r="B27" s="2" t="s">
        <v>67</v>
      </c>
      <c r="C27" s="9">
        <f>'Despesa - Access'!P11</f>
        <v>19261</v>
      </c>
      <c r="D27" s="129"/>
      <c r="E27" s="129"/>
      <c r="F27" s="129"/>
      <c r="G27" s="93"/>
    </row>
    <row r="28" spans="1:8" x14ac:dyDescent="0.2">
      <c r="A28" s="2" t="s">
        <v>46</v>
      </c>
      <c r="B28" s="2" t="s">
        <v>8</v>
      </c>
      <c r="C28" s="9">
        <f>'Despesa - Access'!P12</f>
        <v>1781083.19</v>
      </c>
      <c r="D28" s="129"/>
      <c r="E28" s="129"/>
      <c r="F28" s="129"/>
      <c r="G28" s="93"/>
    </row>
    <row r="29" spans="1:8" x14ac:dyDescent="0.2">
      <c r="A29" s="2" t="s">
        <v>47</v>
      </c>
      <c r="B29" s="2" t="s">
        <v>9</v>
      </c>
      <c r="C29" s="9">
        <f>'Despesa - Access'!P13</f>
        <v>3010332.87</v>
      </c>
      <c r="D29" s="129"/>
      <c r="E29" s="129"/>
      <c r="F29" s="129"/>
      <c r="G29" s="93"/>
    </row>
    <row r="30" spans="1:8" x14ac:dyDescent="0.2">
      <c r="A30" s="2" t="s">
        <v>48</v>
      </c>
      <c r="B30" s="2" t="s">
        <v>10</v>
      </c>
      <c r="C30" s="9">
        <f>'Despesa - Access'!P14</f>
        <v>-89520.09</v>
      </c>
      <c r="D30" s="129"/>
      <c r="E30" s="129"/>
      <c r="F30" s="129"/>
      <c r="G30" s="93"/>
    </row>
    <row r="31" spans="1:8" x14ac:dyDescent="0.2">
      <c r="A31" s="2" t="s">
        <v>49</v>
      </c>
      <c r="B31" s="2" t="s">
        <v>11</v>
      </c>
      <c r="C31" s="9">
        <f>'Despesa - Access'!P15</f>
        <v>-416868.39</v>
      </c>
      <c r="D31" s="129"/>
      <c r="E31" s="129"/>
      <c r="F31" s="129"/>
      <c r="G31" s="93"/>
    </row>
    <row r="32" spans="1:8" x14ac:dyDescent="0.2">
      <c r="A32" s="2" t="s">
        <v>50</v>
      </c>
      <c r="B32" s="2" t="s">
        <v>12</v>
      </c>
      <c r="C32" s="9">
        <f>'Despesa - Access'!P16</f>
        <v>-938482.18</v>
      </c>
      <c r="D32" s="129"/>
      <c r="E32" s="129"/>
      <c r="F32" s="129"/>
      <c r="G32" s="93"/>
    </row>
    <row r="33" spans="1:8" x14ac:dyDescent="0.2">
      <c r="A33" s="2" t="s">
        <v>51</v>
      </c>
      <c r="B33" s="2" t="s">
        <v>13</v>
      </c>
      <c r="C33" s="9">
        <f>'Despesa - Access'!P17</f>
        <v>-698581.37</v>
      </c>
      <c r="D33" s="129"/>
      <c r="E33" s="129"/>
      <c r="F33" s="129"/>
      <c r="G33" s="93"/>
    </row>
    <row r="34" spans="1:8" ht="63.75" x14ac:dyDescent="0.2">
      <c r="A34" s="6" t="s">
        <v>52</v>
      </c>
      <c r="B34" s="7" t="s">
        <v>275</v>
      </c>
      <c r="C34" s="9">
        <f>'Despesa - Access'!P18</f>
        <v>930720.66</v>
      </c>
      <c r="D34" s="129"/>
      <c r="E34" s="129"/>
      <c r="F34" s="150" t="s">
        <v>394</v>
      </c>
      <c r="G34" s="93"/>
    </row>
    <row r="35" spans="1:8" x14ac:dyDescent="0.2">
      <c r="A35" s="2" t="s">
        <v>53</v>
      </c>
      <c r="B35" s="2" t="s">
        <v>14</v>
      </c>
      <c r="C35" s="9">
        <f>'Despesa - Access'!P19</f>
        <v>1042948.22</v>
      </c>
      <c r="D35" s="129"/>
      <c r="E35" s="129"/>
      <c r="F35" s="149">
        <f>-F17-F48-F58</f>
        <v>5715754.29</v>
      </c>
      <c r="G35" s="93"/>
      <c r="H35" s="8"/>
    </row>
    <row r="36" spans="1:8" x14ac:dyDescent="0.2">
      <c r="A36" s="2" t="s">
        <v>54</v>
      </c>
      <c r="B36" s="2" t="s">
        <v>267</v>
      </c>
      <c r="C36" s="9">
        <f>'Despesa - Access'!P20</f>
        <v>3383900.27</v>
      </c>
      <c r="D36" s="129"/>
      <c r="E36" s="129"/>
      <c r="F36" s="129"/>
      <c r="G36" s="93"/>
      <c r="H36" s="152"/>
    </row>
    <row r="37" spans="1:8" x14ac:dyDescent="0.2">
      <c r="A37" s="2" t="s">
        <v>55</v>
      </c>
      <c r="B37" s="2" t="s">
        <v>15</v>
      </c>
      <c r="C37" s="9">
        <f>'Despesa - Access'!P21</f>
        <v>-23126.84</v>
      </c>
      <c r="D37" s="129"/>
      <c r="E37" s="129"/>
      <c r="F37" s="129"/>
      <c r="G37" s="93"/>
    </row>
    <row r="38" spans="1:8" ht="25.5" x14ac:dyDescent="0.2">
      <c r="A38" s="6" t="s">
        <v>56</v>
      </c>
      <c r="B38" s="26" t="s">
        <v>68</v>
      </c>
      <c r="C38" s="9">
        <f>'Despesa - Access'!P22</f>
        <v>1125085.1200000001</v>
      </c>
      <c r="D38" s="129"/>
      <c r="E38" s="129"/>
      <c r="F38" s="129"/>
      <c r="G38" s="93"/>
    </row>
    <row r="39" spans="1:8" x14ac:dyDescent="0.2">
      <c r="A39" s="2" t="s">
        <v>57</v>
      </c>
      <c r="B39" s="2" t="s">
        <v>16</v>
      </c>
      <c r="C39" s="9">
        <f>'Despesa - Access'!P23</f>
        <v>77678.399999999994</v>
      </c>
      <c r="D39" s="129"/>
      <c r="E39" s="129"/>
      <c r="F39" s="129"/>
      <c r="G39" s="93"/>
    </row>
    <row r="40" spans="1:8" x14ac:dyDescent="0.2">
      <c r="A40" s="2" t="s">
        <v>58</v>
      </c>
      <c r="B40" s="2" t="s">
        <v>17</v>
      </c>
      <c r="C40" s="9">
        <f>'Despesa - Access'!P24</f>
        <v>-671131.98</v>
      </c>
      <c r="D40" s="129"/>
      <c r="E40" s="129"/>
      <c r="F40" s="129"/>
      <c r="G40" s="93"/>
    </row>
    <row r="41" spans="1:8" x14ac:dyDescent="0.2">
      <c r="A41" s="2" t="s">
        <v>59</v>
      </c>
      <c r="B41" s="2" t="s">
        <v>18</v>
      </c>
      <c r="C41" s="9">
        <f>'Despesa - Access'!P25</f>
        <v>-142450.44</v>
      </c>
      <c r="D41" s="129"/>
      <c r="E41" s="129"/>
      <c r="F41" s="129"/>
      <c r="G41" s="93"/>
    </row>
    <row r="42" spans="1:8" x14ac:dyDescent="0.2">
      <c r="A42" s="2" t="s">
        <v>60</v>
      </c>
      <c r="B42" s="2" t="s">
        <v>19</v>
      </c>
      <c r="C42" s="9">
        <f>'Despesa - Access'!P26</f>
        <v>0</v>
      </c>
      <c r="D42" s="129"/>
      <c r="E42" s="129"/>
      <c r="F42" s="129"/>
      <c r="G42" s="93"/>
    </row>
    <row r="43" spans="1:8" x14ac:dyDescent="0.2">
      <c r="A43" s="2" t="s">
        <v>61</v>
      </c>
      <c r="B43" s="2" t="s">
        <v>20</v>
      </c>
      <c r="C43" s="9">
        <f>'Despesa - Access'!P27</f>
        <v>-4188.46</v>
      </c>
      <c r="D43" s="129"/>
      <c r="E43" s="129"/>
      <c r="F43" s="129"/>
      <c r="G43" s="93"/>
    </row>
    <row r="44" spans="1:8" x14ac:dyDescent="0.2">
      <c r="A44" s="2" t="s">
        <v>62</v>
      </c>
      <c r="B44" s="2" t="s">
        <v>21</v>
      </c>
      <c r="C44" s="9">
        <f>'Despesa - Access'!P28</f>
        <v>-179506.83</v>
      </c>
      <c r="D44" s="129"/>
      <c r="E44" s="129"/>
      <c r="F44" s="129"/>
      <c r="G44" s="93"/>
    </row>
    <row r="45" spans="1:8" x14ac:dyDescent="0.2">
      <c r="A45" s="2" t="s">
        <v>63</v>
      </c>
      <c r="B45" s="2" t="s">
        <v>69</v>
      </c>
      <c r="C45" s="9">
        <f>'Despesa - Access'!P29</f>
        <v>-2365200.92</v>
      </c>
      <c r="D45" s="129"/>
      <c r="E45" s="129"/>
      <c r="F45" s="129"/>
      <c r="G45" s="93"/>
    </row>
    <row r="46" spans="1:8" x14ac:dyDescent="0.2">
      <c r="A46" s="2" t="s">
        <v>64</v>
      </c>
      <c r="B46" s="2" t="s">
        <v>22</v>
      </c>
      <c r="C46" s="9">
        <f>'Despesa - Access'!P30</f>
        <v>0</v>
      </c>
      <c r="D46" s="129"/>
      <c r="E46" s="129"/>
      <c r="F46" s="129"/>
      <c r="G46" s="93"/>
    </row>
    <row r="47" spans="1:8" x14ac:dyDescent="0.2">
      <c r="A47" s="2" t="s">
        <v>65</v>
      </c>
      <c r="B47" s="2" t="s">
        <v>23</v>
      </c>
      <c r="C47" s="9">
        <f>'Despesa - Access'!P31</f>
        <v>205311.76</v>
      </c>
      <c r="D47" s="148" t="s">
        <v>391</v>
      </c>
      <c r="E47" s="148" t="s">
        <v>392</v>
      </c>
      <c r="F47" s="148" t="s">
        <v>393</v>
      </c>
      <c r="G47" s="93"/>
    </row>
    <row r="48" spans="1:8" x14ac:dyDescent="0.2">
      <c r="A48" s="165" t="s">
        <v>70</v>
      </c>
      <c r="B48" s="165"/>
      <c r="C48" s="10">
        <f>SUM(C22:C47)</f>
        <v>9105963.5000000019</v>
      </c>
      <c r="D48" s="149">
        <v>37550835.590000004</v>
      </c>
      <c r="E48" s="149">
        <v>-28145807.34</v>
      </c>
      <c r="F48" s="153">
        <v>-299064.75</v>
      </c>
      <c r="G48" s="93">
        <f>+D48+E48+F48</f>
        <v>9105963.5000000037</v>
      </c>
      <c r="H48" s="8">
        <f>+G48-C48</f>
        <v>0</v>
      </c>
    </row>
    <row r="49" spans="1:8" x14ac:dyDescent="0.2">
      <c r="D49" s="129"/>
      <c r="E49" s="129"/>
      <c r="F49" s="129"/>
      <c r="G49" s="93"/>
    </row>
    <row r="50" spans="1:8" x14ac:dyDescent="0.2">
      <c r="A50" s="4" t="s">
        <v>259</v>
      </c>
      <c r="D50" s="129"/>
      <c r="E50" s="129"/>
      <c r="F50" s="129"/>
      <c r="G50" s="93"/>
    </row>
    <row r="51" spans="1:8" x14ac:dyDescent="0.2">
      <c r="D51" s="129"/>
      <c r="E51" s="129"/>
      <c r="F51" s="129"/>
      <c r="G51" s="93"/>
    </row>
    <row r="52" spans="1:8" x14ac:dyDescent="0.2">
      <c r="A52" s="3" t="s">
        <v>38</v>
      </c>
      <c r="B52" s="3" t="s">
        <v>39</v>
      </c>
      <c r="C52" s="11" t="s">
        <v>273</v>
      </c>
      <c r="D52" s="129"/>
      <c r="E52" s="129"/>
      <c r="F52" s="129"/>
      <c r="G52" s="93"/>
    </row>
    <row r="53" spans="1:8" x14ac:dyDescent="0.2">
      <c r="A53" s="2" t="s">
        <v>40</v>
      </c>
      <c r="B53" s="2" t="s">
        <v>25</v>
      </c>
      <c r="C53" s="9">
        <f>'Despesa - Access'!P32</f>
        <v>-4295484.95</v>
      </c>
      <c r="D53" s="129"/>
      <c r="E53" s="129"/>
      <c r="F53" s="129"/>
      <c r="G53" s="93"/>
    </row>
    <row r="54" spans="1:8" x14ac:dyDescent="0.2">
      <c r="A54" s="2" t="s">
        <v>41</v>
      </c>
      <c r="B54" s="2" t="s">
        <v>26</v>
      </c>
      <c r="C54" s="9">
        <f>'Despesa - Access'!P33</f>
        <v>-869380</v>
      </c>
      <c r="D54" s="129"/>
      <c r="E54" s="129"/>
      <c r="F54" s="129"/>
      <c r="G54" s="93"/>
    </row>
    <row r="55" spans="1:8" x14ac:dyDescent="0.2">
      <c r="A55" s="2" t="s">
        <v>42</v>
      </c>
      <c r="B55" s="2" t="s">
        <v>66</v>
      </c>
      <c r="C55" s="9">
        <f>'Despesa - Access'!P34</f>
        <v>1490556</v>
      </c>
      <c r="D55" s="129"/>
      <c r="E55" s="129"/>
      <c r="F55" s="129"/>
      <c r="G55" s="93"/>
    </row>
    <row r="56" spans="1:8" x14ac:dyDescent="0.2">
      <c r="A56" s="2" t="s">
        <v>43</v>
      </c>
      <c r="B56" s="2" t="s">
        <v>27</v>
      </c>
      <c r="C56" s="9">
        <f>'Despesa - Access'!P35</f>
        <v>0</v>
      </c>
      <c r="D56" s="129"/>
      <c r="E56" s="129"/>
      <c r="F56" s="129"/>
      <c r="G56" s="93"/>
    </row>
    <row r="57" spans="1:8" x14ac:dyDescent="0.2">
      <c r="A57" s="2" t="s">
        <v>44</v>
      </c>
      <c r="B57" s="2" t="s">
        <v>28</v>
      </c>
      <c r="C57" s="9">
        <f>'Despesa - Access'!P36</f>
        <v>-7915516.6500000004</v>
      </c>
      <c r="D57" s="148" t="s">
        <v>391</v>
      </c>
      <c r="E57" s="148" t="s">
        <v>392</v>
      </c>
      <c r="F57" s="148" t="s">
        <v>393</v>
      </c>
      <c r="G57" s="93"/>
    </row>
    <row r="58" spans="1:8" x14ac:dyDescent="0.2">
      <c r="A58" s="165" t="s">
        <v>70</v>
      </c>
      <c r="B58" s="165"/>
      <c r="C58" s="10">
        <f>SUM(C53:C57)</f>
        <v>-11589825.600000001</v>
      </c>
      <c r="D58" s="149">
        <v>5315655.3499999996</v>
      </c>
      <c r="E58" s="149">
        <v>-16886531.5</v>
      </c>
      <c r="F58" s="149">
        <v>-18949.45</v>
      </c>
      <c r="G58" s="93">
        <f>+D58+E58+F58</f>
        <v>-11589825.6</v>
      </c>
      <c r="H58" s="8">
        <f>+G58-C58</f>
        <v>0</v>
      </c>
    </row>
    <row r="59" spans="1:8" x14ac:dyDescent="0.2">
      <c r="D59" s="129"/>
      <c r="E59" s="129"/>
      <c r="F59" s="129"/>
      <c r="G59" s="93"/>
    </row>
    <row r="60" spans="1:8" x14ac:dyDescent="0.2">
      <c r="A60" s="4" t="s">
        <v>72</v>
      </c>
      <c r="D60" s="129"/>
      <c r="E60" s="129"/>
      <c r="F60" s="151"/>
      <c r="G60" s="93"/>
    </row>
    <row r="61" spans="1:8" x14ac:dyDescent="0.2">
      <c r="F61" s="133"/>
    </row>
    <row r="62" spans="1:8" x14ac:dyDescent="0.2">
      <c r="A62" s="3" t="s">
        <v>38</v>
      </c>
      <c r="B62" s="3" t="s">
        <v>39</v>
      </c>
      <c r="C62" s="11" t="s">
        <v>273</v>
      </c>
      <c r="F62" s="133"/>
    </row>
    <row r="63" spans="1:8" x14ac:dyDescent="0.2">
      <c r="A63" s="2" t="s">
        <v>40</v>
      </c>
      <c r="B63" s="2" t="s">
        <v>30</v>
      </c>
      <c r="C63" s="9">
        <f>'Despesa - Access'!P37</f>
        <v>25000000</v>
      </c>
      <c r="F63" s="133"/>
    </row>
    <row r="64" spans="1:8" x14ac:dyDescent="0.2">
      <c r="A64" s="2" t="s">
        <v>41</v>
      </c>
      <c r="B64" s="2" t="s">
        <v>31</v>
      </c>
      <c r="C64" s="9">
        <f>'Despesa - Access'!P38</f>
        <v>0</v>
      </c>
      <c r="D64" s="148" t="s">
        <v>391</v>
      </c>
      <c r="E64" s="148" t="s">
        <v>392</v>
      </c>
      <c r="F64" s="148" t="s">
        <v>393</v>
      </c>
      <c r="G64" s="93"/>
    </row>
    <row r="65" spans="1:7" x14ac:dyDescent="0.2">
      <c r="A65" s="165" t="s">
        <v>70</v>
      </c>
      <c r="B65" s="165"/>
      <c r="C65" s="10">
        <f>SUM(C63:C64)</f>
        <v>25000000</v>
      </c>
      <c r="D65" s="149">
        <v>25000000</v>
      </c>
      <c r="E65" s="149">
        <v>0</v>
      </c>
      <c r="F65" s="149">
        <v>0</v>
      </c>
      <c r="G65" s="93">
        <f>+C65-D65+F65+E65</f>
        <v>0</v>
      </c>
    </row>
    <row r="66" spans="1:7" x14ac:dyDescent="0.2">
      <c r="A66" s="154"/>
      <c r="B66" s="154"/>
      <c r="C66" s="154"/>
    </row>
    <row r="67" spans="1:7" x14ac:dyDescent="0.2">
      <c r="A67" s="4" t="s">
        <v>73</v>
      </c>
    </row>
    <row r="69" spans="1:7" x14ac:dyDescent="0.2">
      <c r="A69" s="3" t="s">
        <v>38</v>
      </c>
      <c r="B69" s="3" t="s">
        <v>39</v>
      </c>
      <c r="C69" s="11" t="s">
        <v>273</v>
      </c>
    </row>
    <row r="70" spans="1:7" x14ac:dyDescent="0.2">
      <c r="A70" s="2" t="s">
        <v>40</v>
      </c>
      <c r="B70" s="2" t="s">
        <v>74</v>
      </c>
      <c r="C70" s="9">
        <f>'Financeiro - Access'!P2</f>
        <v>111977881.12</v>
      </c>
    </row>
    <row r="71" spans="1:7" x14ac:dyDescent="0.2">
      <c r="A71" s="2" t="s">
        <v>41</v>
      </c>
      <c r="B71" s="2" t="s">
        <v>75</v>
      </c>
      <c r="C71" s="9">
        <f>'Financeiro - Access'!P3</f>
        <v>50515837.380000003</v>
      </c>
    </row>
    <row r="72" spans="1:7" x14ac:dyDescent="0.2">
      <c r="A72" s="2" t="s">
        <v>42</v>
      </c>
      <c r="B72" s="2" t="s">
        <v>180</v>
      </c>
      <c r="C72" s="9">
        <f>'Financeiro - Access'!P4</f>
        <v>1600000</v>
      </c>
    </row>
    <row r="73" spans="1:7" x14ac:dyDescent="0.2">
      <c r="A73" s="2" t="s">
        <v>43</v>
      </c>
      <c r="B73" s="2" t="s">
        <v>268</v>
      </c>
      <c r="C73" s="9">
        <f>'Financeiro - Access'!P5</f>
        <v>25000000</v>
      </c>
    </row>
    <row r="74" spans="1:7" x14ac:dyDescent="0.2">
      <c r="A74" s="165" t="s">
        <v>70</v>
      </c>
      <c r="B74" s="165"/>
      <c r="C74" s="10">
        <f>SUM(C70:C73)</f>
        <v>189093718.5</v>
      </c>
    </row>
    <row r="76" spans="1:7" x14ac:dyDescent="0.2">
      <c r="A76" s="4" t="s">
        <v>252</v>
      </c>
    </row>
    <row r="78" spans="1:7" x14ac:dyDescent="0.2">
      <c r="A78" s="3" t="s">
        <v>38</v>
      </c>
      <c r="B78" s="3" t="s">
        <v>39</v>
      </c>
      <c r="C78" s="11" t="s">
        <v>273</v>
      </c>
    </row>
    <row r="79" spans="1:7" x14ac:dyDescent="0.2">
      <c r="A79" s="2" t="s">
        <v>40</v>
      </c>
      <c r="B79" s="2" t="s">
        <v>269</v>
      </c>
      <c r="C79" s="9"/>
    </row>
    <row r="80" spans="1:7" x14ac:dyDescent="0.2">
      <c r="A80" s="2" t="s">
        <v>41</v>
      </c>
      <c r="B80" s="2" t="s">
        <v>270</v>
      </c>
      <c r="C80" s="9"/>
    </row>
    <row r="81" spans="1:12" x14ac:dyDescent="0.2">
      <c r="A81" s="2" t="s">
        <v>42</v>
      </c>
      <c r="B81" s="2" t="s">
        <v>271</v>
      </c>
      <c r="C81" s="9"/>
    </row>
    <row r="82" spans="1:12" x14ac:dyDescent="0.2">
      <c r="A82" s="2" t="s">
        <v>43</v>
      </c>
      <c r="B82" s="2" t="s">
        <v>76</v>
      </c>
      <c r="C82" s="9">
        <f>1726036+972728</f>
        <v>2698764</v>
      </c>
    </row>
    <row r="83" spans="1:12" x14ac:dyDescent="0.2">
      <c r="A83" s="165" t="s">
        <v>70</v>
      </c>
      <c r="B83" s="165"/>
      <c r="C83" s="10">
        <f>SUM(C79:C82)</f>
        <v>2698764</v>
      </c>
    </row>
    <row r="84" spans="1:12" x14ac:dyDescent="0.2">
      <c r="A84" s="169" t="s">
        <v>323</v>
      </c>
      <c r="B84" s="169"/>
      <c r="C84" s="169"/>
    </row>
    <row r="87" spans="1:12" x14ac:dyDescent="0.2">
      <c r="A87" s="157" t="s">
        <v>98</v>
      </c>
      <c r="B87" s="157"/>
      <c r="C87" s="157"/>
      <c r="D87" s="157"/>
      <c r="E87" s="157"/>
    </row>
    <row r="88" spans="1:12" x14ac:dyDescent="0.2">
      <c r="A88" s="116"/>
      <c r="B88" s="116"/>
      <c r="C88" s="116"/>
      <c r="D88"/>
      <c r="E88"/>
    </row>
    <row r="89" spans="1:12" x14ac:dyDescent="0.2">
      <c r="C89" s="117" t="s">
        <v>110</v>
      </c>
      <c r="D89" s="118" t="s">
        <v>109</v>
      </c>
      <c r="E89" s="3" t="s">
        <v>70</v>
      </c>
      <c r="I89" s="33"/>
    </row>
    <row r="90" spans="1:12" x14ac:dyDescent="0.2">
      <c r="A90" s="155"/>
      <c r="B90" s="156"/>
      <c r="C90" s="9">
        <v>0</v>
      </c>
      <c r="D90" s="9">
        <f>'Anexo I - Jan'!C89</f>
        <v>0</v>
      </c>
      <c r="E90" s="9">
        <f>C90-D90</f>
        <v>0</v>
      </c>
      <c r="I90" s="33"/>
    </row>
    <row r="91" spans="1:12" x14ac:dyDescent="0.2">
      <c r="A91" s="155" t="s">
        <v>366</v>
      </c>
      <c r="B91" s="156"/>
      <c r="C91" s="9">
        <f>1535076685.41+418834.17</f>
        <v>1535495519.5800002</v>
      </c>
      <c r="D91" s="9">
        <f>'Anexo I - Nov'!C91</f>
        <v>1451873951.1500001</v>
      </c>
      <c r="E91" s="9">
        <f>C91-D91</f>
        <v>83621568.430000067</v>
      </c>
      <c r="G91" s="173"/>
      <c r="H91" s="173"/>
      <c r="I91" s="173"/>
      <c r="K91" s="129">
        <f>31754342.46+418384.17</f>
        <v>32172726.630000003</v>
      </c>
      <c r="L91" s="133" t="s">
        <v>371</v>
      </c>
    </row>
    <row r="92" spans="1:12" x14ac:dyDescent="0.2">
      <c r="A92" s="155" t="s">
        <v>125</v>
      </c>
      <c r="B92" s="156"/>
      <c r="C92" s="9">
        <v>0</v>
      </c>
      <c r="D92" s="9">
        <f>'Anexo I - Jan'!C91</f>
        <v>0</v>
      </c>
      <c r="E92" s="9">
        <f>C92-D92</f>
        <v>0</v>
      </c>
      <c r="G92" s="173"/>
      <c r="H92" s="173"/>
      <c r="I92" s="173"/>
      <c r="K92" s="129">
        <v>31740546.280000001</v>
      </c>
      <c r="L92" s="133" t="s">
        <v>374</v>
      </c>
    </row>
    <row r="93" spans="1:12" x14ac:dyDescent="0.2">
      <c r="A93" s="163" t="s">
        <v>96</v>
      </c>
      <c r="B93" s="163"/>
      <c r="C93" s="163"/>
      <c r="D93" s="163"/>
      <c r="E93" s="27">
        <f>SUM(E90:E92)</f>
        <v>83621568.430000067</v>
      </c>
      <c r="F93" s="119"/>
      <c r="G93" s="173"/>
      <c r="H93" s="173"/>
      <c r="I93" s="173"/>
      <c r="K93" s="93">
        <f>+K91-K92</f>
        <v>432180.35000000149</v>
      </c>
    </row>
    <row r="94" spans="1:12" x14ac:dyDescent="0.2">
      <c r="A94" s="163" t="s">
        <v>97</v>
      </c>
      <c r="B94" s="163"/>
      <c r="C94" s="163"/>
      <c r="D94" s="163"/>
      <c r="E94" s="27">
        <f>$C$17+$C$48+$C$58+$C$65</f>
        <v>132306517.25</v>
      </c>
      <c r="F94" s="33"/>
      <c r="G94" s="136"/>
      <c r="I94" s="33"/>
      <c r="K94" s="129">
        <v>418384.17</v>
      </c>
      <c r="L94" s="133" t="s">
        <v>372</v>
      </c>
    </row>
    <row r="95" spans="1:12" ht="15" x14ac:dyDescent="0.35">
      <c r="D95"/>
      <c r="E95"/>
      <c r="F95" s="142"/>
      <c r="G95" s="141"/>
      <c r="H95" s="136"/>
      <c r="I95" s="33"/>
      <c r="K95" s="93">
        <f>+K93-K94</f>
        <v>13796.180000001506</v>
      </c>
      <c r="L95" s="133" t="s">
        <v>373</v>
      </c>
    </row>
    <row r="96" spans="1:12" x14ac:dyDescent="0.2">
      <c r="D96" s="86" t="s">
        <v>278</v>
      </c>
      <c r="E96" s="91">
        <f>117443641.14+37550835.59+5315655.35+25000000</f>
        <v>185310132.08000001</v>
      </c>
      <c r="F96" s="8"/>
      <c r="G96" s="138"/>
      <c r="H96" s="136"/>
      <c r="I96" s="33"/>
      <c r="K96" s="93"/>
    </row>
    <row r="97" spans="3:11" x14ac:dyDescent="0.2">
      <c r="C97"/>
      <c r="D97"/>
      <c r="E97" s="88" t="str">
        <f>IF(E93=E94,"despesa OK","DIFERENÇA")</f>
        <v>DIFERENÇA</v>
      </c>
      <c r="G97" s="138"/>
      <c r="H97" s="133"/>
      <c r="I97" s="33"/>
      <c r="K97" s="93">
        <f>+K93-K94-K95</f>
        <v>0</v>
      </c>
    </row>
    <row r="98" spans="3:11" x14ac:dyDescent="0.2">
      <c r="D98"/>
      <c r="E98" s="8"/>
      <c r="G98" s="138"/>
      <c r="H98" s="136"/>
      <c r="I98" s="33"/>
      <c r="K98" s="93"/>
    </row>
    <row r="99" spans="3:11" ht="15" customHeight="1" x14ac:dyDescent="0.2">
      <c r="D99"/>
      <c r="E99" s="33">
        <f>+E96-E94</f>
        <v>53003614.830000013</v>
      </c>
      <c r="F99" s="144" t="s">
        <v>398</v>
      </c>
      <c r="G99" s="138"/>
      <c r="H99" s="136"/>
      <c r="I99" s="33"/>
      <c r="K99" s="93"/>
    </row>
    <row r="100" spans="3:11" ht="15" customHeight="1" x14ac:dyDescent="0.2">
      <c r="D100"/>
      <c r="E100" s="33">
        <f>47252159.01+47629.83+5715754.29</f>
        <v>53015543.129999995</v>
      </c>
      <c r="F100" s="144" t="s">
        <v>399</v>
      </c>
      <c r="G100" s="139"/>
      <c r="H100" s="137"/>
      <c r="I100" s="33"/>
    </row>
    <row r="101" spans="3:11" ht="15" customHeight="1" x14ac:dyDescent="0.2">
      <c r="D101"/>
      <c r="E101" s="33">
        <f>+E99-E100</f>
        <v>-11928.299999982119</v>
      </c>
      <c r="F101" s="135" t="s">
        <v>400</v>
      </c>
      <c r="G101" s="140"/>
      <c r="I101" s="135"/>
    </row>
  </sheetData>
  <mergeCells count="22">
    <mergeCell ref="A74:B74"/>
    <mergeCell ref="G91:I93"/>
    <mergeCell ref="A93:D93"/>
    <mergeCell ref="A94:D94"/>
    <mergeCell ref="A90:B90"/>
    <mergeCell ref="A91:B91"/>
    <mergeCell ref="A87:E87"/>
    <mergeCell ref="A92:B92"/>
    <mergeCell ref="A84:C84"/>
    <mergeCell ref="A83:B83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D71"/>
  <sheetViews>
    <sheetView showGridLines="0" view="pageBreakPreview" zoomScale="115" zoomScaleNormal="100" zoomScaleSheetLayoutView="115" workbookViewId="0">
      <selection activeCell="F11" sqref="F1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  <col min="4" max="4" width="13.42578125" bestFit="1" customWidth="1"/>
  </cols>
  <sheetData>
    <row r="1" spans="1:3" x14ac:dyDescent="0.2">
      <c r="A1" s="164" t="s">
        <v>253</v>
      </c>
      <c r="B1" s="164"/>
      <c r="C1" s="164"/>
    </row>
    <row r="3" spans="1:3" x14ac:dyDescent="0.2">
      <c r="A3" s="2" t="s">
        <v>32</v>
      </c>
      <c r="B3" s="163" t="s">
        <v>255</v>
      </c>
      <c r="C3" s="163"/>
    </row>
    <row r="4" spans="1:3" x14ac:dyDescent="0.2">
      <c r="A4" s="2" t="s">
        <v>33</v>
      </c>
      <c r="B4" s="163" t="s">
        <v>256</v>
      </c>
      <c r="C4" s="163"/>
    </row>
    <row r="5" spans="1:3" x14ac:dyDescent="0.2">
      <c r="A5" s="2" t="s">
        <v>34</v>
      </c>
      <c r="B5" s="163" t="s">
        <v>367</v>
      </c>
      <c r="C5" s="163"/>
    </row>
    <row r="6" spans="1:3" x14ac:dyDescent="0.2">
      <c r="A6" s="2" t="s">
        <v>35</v>
      </c>
      <c r="B6" s="163" t="s">
        <v>257</v>
      </c>
      <c r="C6" s="163"/>
    </row>
    <row r="7" spans="1:3" x14ac:dyDescent="0.2">
      <c r="A7" s="2" t="s">
        <v>36</v>
      </c>
      <c r="B7" s="160" t="s">
        <v>403</v>
      </c>
      <c r="C7" s="161"/>
    </row>
    <row r="8" spans="1:3" x14ac:dyDescent="0.2">
      <c r="A8" s="2" t="s">
        <v>37</v>
      </c>
      <c r="B8" s="162">
        <v>43119</v>
      </c>
      <c r="C8" s="163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273</v>
      </c>
    </row>
    <row r="13" spans="1:3" x14ac:dyDescent="0.2">
      <c r="A13" s="2" t="s">
        <v>40</v>
      </c>
      <c r="B13" s="5" t="s">
        <v>1</v>
      </c>
      <c r="C13" s="10">
        <f>'RP - Access'!E2</f>
        <v>7387569.2599999998</v>
      </c>
    </row>
    <row r="14" spans="1:3" x14ac:dyDescent="0.2">
      <c r="A14" s="2" t="s">
        <v>41</v>
      </c>
      <c r="B14" s="5" t="s">
        <v>2</v>
      </c>
      <c r="C14" s="10">
        <f>'RP - Access'!E3</f>
        <v>196451.53</v>
      </c>
    </row>
    <row r="15" spans="1:3" x14ac:dyDescent="0.2">
      <c r="A15" s="2" t="s">
        <v>42</v>
      </c>
      <c r="B15" s="5" t="s">
        <v>266</v>
      </c>
      <c r="C15" s="10">
        <f>'RP - Access'!E4</f>
        <v>79725.75</v>
      </c>
    </row>
    <row r="16" spans="1:3" ht="51" x14ac:dyDescent="0.2">
      <c r="A16" s="6" t="s">
        <v>43</v>
      </c>
      <c r="B16" s="5" t="s">
        <v>274</v>
      </c>
      <c r="C16" s="10">
        <f>'RP - Access'!E5</f>
        <v>1443.55</v>
      </c>
    </row>
    <row r="17" spans="1:3" x14ac:dyDescent="0.2">
      <c r="A17" s="165" t="s">
        <v>70</v>
      </c>
      <c r="B17" s="165"/>
      <c r="C17" s="10">
        <f>SUM(C13:C16)</f>
        <v>7665190.0899999999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272</v>
      </c>
    </row>
    <row r="22" spans="1:3" x14ac:dyDescent="0.2">
      <c r="A22" s="2" t="s">
        <v>40</v>
      </c>
      <c r="B22" s="2" t="s">
        <v>3</v>
      </c>
      <c r="C22" s="9">
        <f>'RP - Access'!E6</f>
        <v>315001.98</v>
      </c>
    </row>
    <row r="23" spans="1:3" x14ac:dyDescent="0.2">
      <c r="A23" s="2" t="s">
        <v>41</v>
      </c>
      <c r="B23" s="2" t="s">
        <v>4</v>
      </c>
      <c r="C23" s="9">
        <f>'RP - Access'!E7</f>
        <v>193489.43</v>
      </c>
    </row>
    <row r="24" spans="1:3" x14ac:dyDescent="0.2">
      <c r="A24" s="2" t="s">
        <v>42</v>
      </c>
      <c r="B24" s="2" t="s">
        <v>5</v>
      </c>
      <c r="C24" s="9">
        <f>'RP - Access'!E8</f>
        <v>18154.3</v>
      </c>
    </row>
    <row r="25" spans="1:3" x14ac:dyDescent="0.2">
      <c r="A25" s="2" t="s">
        <v>43</v>
      </c>
      <c r="B25" s="2" t="s">
        <v>6</v>
      </c>
      <c r="C25" s="9">
        <f>'RP - Access'!E9</f>
        <v>5418920.8200000003</v>
      </c>
    </row>
    <row r="26" spans="1:3" x14ac:dyDescent="0.2">
      <c r="A26" s="2" t="s">
        <v>44</v>
      </c>
      <c r="B26" s="2" t="s">
        <v>7</v>
      </c>
      <c r="C26" s="9">
        <f>'RP - Access'!E10</f>
        <v>0</v>
      </c>
    </row>
    <row r="27" spans="1:3" x14ac:dyDescent="0.2">
      <c r="A27" s="2" t="s">
        <v>45</v>
      </c>
      <c r="B27" s="2" t="s">
        <v>67</v>
      </c>
      <c r="C27" s="9">
        <f>'RP - Access'!E11</f>
        <v>25729.43</v>
      </c>
    </row>
    <row r="28" spans="1:3" x14ac:dyDescent="0.2">
      <c r="A28" s="2" t="s">
        <v>46</v>
      </c>
      <c r="B28" s="2" t="s">
        <v>8</v>
      </c>
      <c r="C28" s="9">
        <f>'RP - Access'!E12</f>
        <v>753674.05</v>
      </c>
    </row>
    <row r="29" spans="1:3" x14ac:dyDescent="0.2">
      <c r="A29" s="2" t="s">
        <v>47</v>
      </c>
      <c r="B29" s="2" t="s">
        <v>9</v>
      </c>
      <c r="C29" s="9">
        <f>'RP - Access'!E13</f>
        <v>1331739.3899999999</v>
      </c>
    </row>
    <row r="30" spans="1:3" x14ac:dyDescent="0.2">
      <c r="A30" s="2" t="s">
        <v>48</v>
      </c>
      <c r="B30" s="2" t="s">
        <v>10</v>
      </c>
      <c r="C30" s="9">
        <f>'RP - Access'!E14</f>
        <v>232720.01</v>
      </c>
    </row>
    <row r="31" spans="1:3" x14ac:dyDescent="0.2">
      <c r="A31" s="2" t="s">
        <v>49</v>
      </c>
      <c r="B31" s="2" t="s">
        <v>11</v>
      </c>
      <c r="C31" s="9">
        <f>'RP - Access'!E15</f>
        <v>1033234.51</v>
      </c>
    </row>
    <row r="32" spans="1:3" x14ac:dyDescent="0.2">
      <c r="A32" s="2" t="s">
        <v>50</v>
      </c>
      <c r="B32" s="2" t="s">
        <v>12</v>
      </c>
      <c r="C32" s="9">
        <f>'RP - Access'!E16</f>
        <v>1040288.48</v>
      </c>
    </row>
    <row r="33" spans="1:3" x14ac:dyDescent="0.2">
      <c r="A33" s="2" t="s">
        <v>51</v>
      </c>
      <c r="B33" s="2" t="s">
        <v>13</v>
      </c>
      <c r="C33" s="9">
        <f>'RP - Access'!E17</f>
        <v>1501255.39</v>
      </c>
    </row>
    <row r="34" spans="1:3" ht="63.75" x14ac:dyDescent="0.2">
      <c r="A34" s="6" t="s">
        <v>52</v>
      </c>
      <c r="B34" s="7" t="s">
        <v>275</v>
      </c>
      <c r="C34" s="9">
        <f>'RP - Access'!E18</f>
        <v>620487.66</v>
      </c>
    </row>
    <row r="35" spans="1:3" x14ac:dyDescent="0.2">
      <c r="A35" s="2" t="s">
        <v>53</v>
      </c>
      <c r="B35" s="2" t="s">
        <v>14</v>
      </c>
      <c r="C35" s="9">
        <f>'RP - Access'!E19</f>
        <v>603948.26</v>
      </c>
    </row>
    <row r="36" spans="1:3" x14ac:dyDescent="0.2">
      <c r="A36" s="2" t="s">
        <v>54</v>
      </c>
      <c r="B36" s="2" t="s">
        <v>267</v>
      </c>
      <c r="C36" s="9">
        <f>'RP - Access'!E20</f>
        <v>912380.47</v>
      </c>
    </row>
    <row r="37" spans="1:3" x14ac:dyDescent="0.2">
      <c r="A37" s="2" t="s">
        <v>55</v>
      </c>
      <c r="B37" s="2" t="s">
        <v>15</v>
      </c>
      <c r="C37" s="9">
        <f>'RP - Access'!E21</f>
        <v>30952.799999999999</v>
      </c>
    </row>
    <row r="38" spans="1:3" ht="25.5" x14ac:dyDescent="0.2">
      <c r="A38" s="26" t="s">
        <v>56</v>
      </c>
      <c r="B38" s="26" t="s">
        <v>68</v>
      </c>
      <c r="C38" s="9">
        <f>'RP - Access'!E22</f>
        <v>278959.12</v>
      </c>
    </row>
    <row r="39" spans="1:3" x14ac:dyDescent="0.2">
      <c r="A39" s="2" t="s">
        <v>57</v>
      </c>
      <c r="B39" s="2" t="s">
        <v>16</v>
      </c>
      <c r="C39" s="9">
        <f>'RP - Access'!E23</f>
        <v>108005.27</v>
      </c>
    </row>
    <row r="40" spans="1:3" x14ac:dyDescent="0.2">
      <c r="A40" s="2" t="s">
        <v>58</v>
      </c>
      <c r="B40" s="2" t="s">
        <v>17</v>
      </c>
      <c r="C40" s="9">
        <f>'RP - Access'!E24</f>
        <v>672561.09</v>
      </c>
    </row>
    <row r="41" spans="1:3" x14ac:dyDescent="0.2">
      <c r="A41" s="2" t="s">
        <v>59</v>
      </c>
      <c r="B41" s="2" t="s">
        <v>18</v>
      </c>
      <c r="C41" s="9">
        <f>'RP - Access'!E25</f>
        <v>215552.19</v>
      </c>
    </row>
    <row r="42" spans="1:3" x14ac:dyDescent="0.2">
      <c r="A42" s="2" t="s">
        <v>60</v>
      </c>
      <c r="B42" s="2" t="s">
        <v>19</v>
      </c>
      <c r="C42" s="9">
        <f>'RP - Access'!E26</f>
        <v>0</v>
      </c>
    </row>
    <row r="43" spans="1:3" x14ac:dyDescent="0.2">
      <c r="A43" s="2" t="s">
        <v>61</v>
      </c>
      <c r="B43" s="2" t="s">
        <v>20</v>
      </c>
      <c r="C43" s="9">
        <f>'RP - Access'!E27</f>
        <v>16479.419999999998</v>
      </c>
    </row>
    <row r="44" spans="1:3" x14ac:dyDescent="0.2">
      <c r="A44" s="2" t="s">
        <v>62</v>
      </c>
      <c r="B44" s="2" t="s">
        <v>21</v>
      </c>
      <c r="C44" s="9">
        <f>'RP - Access'!E28</f>
        <v>247509.53</v>
      </c>
    </row>
    <row r="45" spans="1:3" x14ac:dyDescent="0.2">
      <c r="A45" s="2" t="s">
        <v>63</v>
      </c>
      <c r="B45" s="2" t="s">
        <v>69</v>
      </c>
      <c r="C45" s="9">
        <f>'RP - Access'!E29</f>
        <v>2876515.18</v>
      </c>
    </row>
    <row r="46" spans="1:3" x14ac:dyDescent="0.2">
      <c r="A46" s="2" t="s">
        <v>64</v>
      </c>
      <c r="B46" s="2" t="s">
        <v>22</v>
      </c>
      <c r="C46" s="9">
        <f>'RP - Access'!E30</f>
        <v>0</v>
      </c>
    </row>
    <row r="47" spans="1:3" x14ac:dyDescent="0.2">
      <c r="A47" s="2" t="s">
        <v>65</v>
      </c>
      <c r="B47" s="2" t="s">
        <v>23</v>
      </c>
      <c r="C47" s="9">
        <f>'RP - Access'!E31</f>
        <v>9997313.3100000005</v>
      </c>
    </row>
    <row r="48" spans="1:3" x14ac:dyDescent="0.2">
      <c r="A48" s="165" t="s">
        <v>70</v>
      </c>
      <c r="B48" s="165"/>
      <c r="C48" s="10">
        <f>SUM(C22:C47)</f>
        <v>28444872.090000004</v>
      </c>
    </row>
    <row r="50" spans="1:3" x14ac:dyDescent="0.2">
      <c r="A50" s="4" t="s">
        <v>259</v>
      </c>
    </row>
    <row r="52" spans="1:3" x14ac:dyDescent="0.2">
      <c r="A52" s="3" t="s">
        <v>38</v>
      </c>
      <c r="B52" s="3" t="s">
        <v>39</v>
      </c>
      <c r="C52" s="11" t="s">
        <v>273</v>
      </c>
    </row>
    <row r="53" spans="1:3" x14ac:dyDescent="0.2">
      <c r="A53" s="2" t="s">
        <v>40</v>
      </c>
      <c r="B53" s="2" t="s">
        <v>25</v>
      </c>
      <c r="C53" s="101">
        <f>'RP - Access'!E32</f>
        <v>5198901.1399999997</v>
      </c>
    </row>
    <row r="54" spans="1:3" x14ac:dyDescent="0.2">
      <c r="A54" s="2" t="s">
        <v>41</v>
      </c>
      <c r="B54" s="2" t="s">
        <v>26</v>
      </c>
      <c r="C54" s="101">
        <f>'RP - Access'!E33</f>
        <v>869380</v>
      </c>
    </row>
    <row r="55" spans="1:3" x14ac:dyDescent="0.2">
      <c r="A55" s="2" t="s">
        <v>42</v>
      </c>
      <c r="B55" s="2" t="s">
        <v>66</v>
      </c>
      <c r="C55" s="101">
        <f>'RP - Access'!E34</f>
        <v>2698764</v>
      </c>
    </row>
    <row r="56" spans="1:3" x14ac:dyDescent="0.2">
      <c r="A56" s="2" t="s">
        <v>43</v>
      </c>
      <c r="B56" s="2" t="s">
        <v>27</v>
      </c>
      <c r="C56" s="101">
        <f>'RP - Access'!E35</f>
        <v>0</v>
      </c>
    </row>
    <row r="57" spans="1:3" x14ac:dyDescent="0.2">
      <c r="A57" s="2" t="s">
        <v>44</v>
      </c>
      <c r="B57" s="2" t="s">
        <v>28</v>
      </c>
      <c r="C57" s="101">
        <f>'RP - Access'!E36</f>
        <v>8138435.8099999996</v>
      </c>
    </row>
    <row r="58" spans="1:3" x14ac:dyDescent="0.2">
      <c r="A58" s="165" t="s">
        <v>70</v>
      </c>
      <c r="B58" s="165"/>
      <c r="C58" s="10">
        <f>SUM(C53:C57)</f>
        <v>16905480.949999999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273</v>
      </c>
    </row>
    <row r="63" spans="1:3" x14ac:dyDescent="0.2">
      <c r="A63" s="2" t="s">
        <v>40</v>
      </c>
      <c r="B63" s="2" t="s">
        <v>30</v>
      </c>
      <c r="C63" s="9">
        <f>'RP - Access'!E37</f>
        <v>0</v>
      </c>
    </row>
    <row r="64" spans="1:3" x14ac:dyDescent="0.2">
      <c r="A64" s="2" t="s">
        <v>41</v>
      </c>
      <c r="B64" s="2" t="s">
        <v>31</v>
      </c>
      <c r="C64" s="9">
        <f>'RP - Access'!E38</f>
        <v>0</v>
      </c>
    </row>
    <row r="65" spans="1:4" x14ac:dyDescent="0.2">
      <c r="A65" s="165" t="s">
        <v>70</v>
      </c>
      <c r="B65" s="165"/>
      <c r="C65" s="10">
        <f>SUM(C63:C64)</f>
        <v>0</v>
      </c>
    </row>
    <row r="66" spans="1:4" x14ac:dyDescent="0.2">
      <c r="A66" s="154" t="s">
        <v>324</v>
      </c>
      <c r="B66" s="154"/>
      <c r="C66" s="154"/>
    </row>
    <row r="68" spans="1:4" x14ac:dyDescent="0.2">
      <c r="A68" s="157" t="s">
        <v>98</v>
      </c>
      <c r="B68" s="157"/>
      <c r="C68" s="157"/>
    </row>
    <row r="70" spans="1:4" x14ac:dyDescent="0.2">
      <c r="A70" s="174" t="s">
        <v>370</v>
      </c>
      <c r="B70" s="175"/>
      <c r="C70" s="103">
        <f>47252159.01+47629.83+5715754.29</f>
        <v>53015543.129999995</v>
      </c>
    </row>
    <row r="71" spans="1:4" x14ac:dyDescent="0.2">
      <c r="A71" s="155" t="s">
        <v>97</v>
      </c>
      <c r="B71" s="156"/>
      <c r="C71" s="27">
        <f>C17+C48+C58+C65</f>
        <v>53015543.13000001</v>
      </c>
      <c r="D71" s="8">
        <f>+C70-C71</f>
        <v>0</v>
      </c>
    </row>
  </sheetData>
  <mergeCells count="15"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66:C6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4">
    <pageSetUpPr fitToPage="1"/>
  </sheetPr>
  <dimension ref="A1:T52"/>
  <sheetViews>
    <sheetView showGridLines="0" zoomScaleNormal="100" workbookViewId="0">
      <selection activeCell="F11" sqref="F11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9.140625" style="21"/>
    <col min="5" max="5" width="4.7109375" style="21" bestFit="1" customWidth="1"/>
    <col min="6" max="6" width="6.140625" style="21" bestFit="1" customWidth="1"/>
    <col min="7" max="11" width="13.7109375" style="22" customWidth="1"/>
    <col min="12" max="12" width="16.140625" style="22" bestFit="1" customWidth="1"/>
    <col min="13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5.42578125" style="22" bestFit="1" customWidth="1"/>
    <col min="18" max="18" width="8.7109375" style="23" customWidth="1"/>
    <col min="19" max="19" width="15.425781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76" t="s">
        <v>240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85</v>
      </c>
      <c r="B3" s="14" t="s">
        <v>86</v>
      </c>
      <c r="C3" s="14" t="s">
        <v>87</v>
      </c>
      <c r="D3" s="14" t="s">
        <v>77</v>
      </c>
      <c r="E3" s="14" t="s">
        <v>88</v>
      </c>
      <c r="F3" s="14" t="s">
        <v>78</v>
      </c>
      <c r="G3" s="15" t="s">
        <v>89</v>
      </c>
      <c r="H3" s="15" t="s">
        <v>79</v>
      </c>
      <c r="I3" s="15" t="s">
        <v>80</v>
      </c>
      <c r="J3" s="15" t="s">
        <v>90</v>
      </c>
      <c r="K3" s="15" t="s">
        <v>91</v>
      </c>
      <c r="L3" s="15" t="s">
        <v>92</v>
      </c>
      <c r="M3" s="15" t="s">
        <v>81</v>
      </c>
      <c r="N3" s="15" t="s">
        <v>93</v>
      </c>
      <c r="O3" s="15" t="s">
        <v>82</v>
      </c>
      <c r="P3" s="16" t="s">
        <v>94</v>
      </c>
      <c r="Q3" s="15" t="s">
        <v>83</v>
      </c>
      <c r="R3" s="16" t="s">
        <v>94</v>
      </c>
      <c r="S3" s="15" t="s">
        <v>84</v>
      </c>
      <c r="T3" s="16" t="s">
        <v>94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599038093.91999996</v>
      </c>
      <c r="M4" s="19">
        <f>'Orcamento - Access'!M2</f>
        <v>0</v>
      </c>
      <c r="N4" s="19">
        <f>'Orcamento - Access'!N2</f>
        <v>599038093.91999996</v>
      </c>
      <c r="O4" s="19">
        <f>'Orcamento - Access'!R2</f>
        <v>599019727.07000005</v>
      </c>
      <c r="P4" s="20">
        <f>'Orcamento - Access'!S2</f>
        <v>1</v>
      </c>
      <c r="Q4" s="19">
        <f>'Orcamento - Access'!W2</f>
        <v>597196999.16999996</v>
      </c>
      <c r="R4" s="20">
        <f>'Orcamento - Access'!X2</f>
        <v>0.99690000000000001</v>
      </c>
      <c r="S4" s="19">
        <f>'Orcamento - Access'!AA2</f>
        <v>596283756.46000004</v>
      </c>
      <c r="T4" s="20">
        <f>'Orcamento - Access'!AB2</f>
        <v>0.99539999999999995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79384135</v>
      </c>
      <c r="M5" s="19">
        <f>'Orcamento - Access'!M3</f>
        <v>0</v>
      </c>
      <c r="N5" s="19">
        <f>'Orcamento - Access'!N3</f>
        <v>79384135</v>
      </c>
      <c r="O5" s="19">
        <f>'Orcamento - Access'!R3</f>
        <v>79374588.739999995</v>
      </c>
      <c r="P5" s="20">
        <f>'Orcamento - Access'!S3</f>
        <v>0.99990000000000001</v>
      </c>
      <c r="Q5" s="19">
        <f>'Orcamento - Access'!W3</f>
        <v>68651749.329999998</v>
      </c>
      <c r="R5" s="20">
        <f>'Orcamento - Access'!X3</f>
        <v>0.86480000000000001</v>
      </c>
      <c r="S5" s="19">
        <f>'Orcamento - Access'!AA3</f>
        <v>68447793.579999998</v>
      </c>
      <c r="T5" s="20">
        <f>'Orcamento - Access'!AB3</f>
        <v>0.86219999999999997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127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16195616</v>
      </c>
      <c r="M6" s="19">
        <f>'Orcamento - Access'!M4</f>
        <v>0</v>
      </c>
      <c r="N6" s="19">
        <f>'Orcamento - Access'!N4</f>
        <v>16195616</v>
      </c>
      <c r="O6" s="19">
        <f>'Orcamento - Access'!R4</f>
        <v>16195616</v>
      </c>
      <c r="P6" s="20">
        <f>'Orcamento - Access'!S4</f>
        <v>1</v>
      </c>
      <c r="Q6" s="19">
        <f>'Orcamento - Access'!W4</f>
        <v>14162693.08</v>
      </c>
      <c r="R6" s="20">
        <f>'Orcamento - Access'!X4</f>
        <v>0.87450000000000006</v>
      </c>
      <c r="S6" s="19">
        <f>'Orcamento - Access'!AA4</f>
        <v>14162693.08</v>
      </c>
      <c r="T6" s="20">
        <f>'Orcamento - Access'!AB4</f>
        <v>0.87450000000000006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4</v>
      </c>
      <c r="F7" s="18" t="str">
        <f>'Orcamento - Access'!F5</f>
        <v>100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3974721</v>
      </c>
      <c r="M7" s="19">
        <f>'Orcamento - Access'!M5</f>
        <v>0</v>
      </c>
      <c r="N7" s="19">
        <f>'Orcamento - Access'!N5</f>
        <v>3974721</v>
      </c>
      <c r="O7" s="19">
        <f>'Orcamento - Access'!R5</f>
        <v>3952962.35</v>
      </c>
      <c r="P7" s="20">
        <f>'Orcamento - Access'!S5</f>
        <v>0.99450000000000005</v>
      </c>
      <c r="Q7" s="19">
        <f>'Orcamento - Access'!W5</f>
        <v>1503062</v>
      </c>
      <c r="R7" s="20">
        <f>'Orcamento - Access'!X5</f>
        <v>0.37819999999999998</v>
      </c>
      <c r="S7" s="19">
        <f>'Orcamento - Access'!AA5</f>
        <v>1500569.02</v>
      </c>
      <c r="T7" s="20">
        <f>'Orcamento - Access'!AB5</f>
        <v>0.3775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21797251</v>
      </c>
      <c r="M8" s="19">
        <f>'Orcamento - Access'!M6</f>
        <v>0</v>
      </c>
      <c r="N8" s="19">
        <f>'Orcamento - Access'!N6</f>
        <v>21797251</v>
      </c>
      <c r="O8" s="19">
        <f>'Orcamento - Access'!R6</f>
        <v>21797250.899999999</v>
      </c>
      <c r="P8" s="20">
        <f>'Orcamento - Access'!S6</f>
        <v>1</v>
      </c>
      <c r="Q8" s="19">
        <f>'Orcamento - Access'!W6</f>
        <v>21088190.850000001</v>
      </c>
      <c r="R8" s="20">
        <f>'Orcamento - Access'!X6</f>
        <v>0.96750000000000003</v>
      </c>
      <c r="S8" s="19">
        <f>'Orcamento - Access'!AA6</f>
        <v>21034625.77</v>
      </c>
      <c r="T8" s="20">
        <f>'Orcamento - Access'!AB6</f>
        <v>0.96499999999999997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2023520</v>
      </c>
      <c r="M9" s="19">
        <f>'Orcamento - Access'!M7</f>
        <v>0</v>
      </c>
      <c r="N9" s="19">
        <f>'Orcamento - Access'!N7</f>
        <v>2023520</v>
      </c>
      <c r="O9" s="19">
        <f>'Orcamento - Access'!R7</f>
        <v>1975986.28</v>
      </c>
      <c r="P9" s="20">
        <f>'Orcamento - Access'!S7</f>
        <v>0.97650000000000003</v>
      </c>
      <c r="Q9" s="19">
        <f>'Orcamento - Access'!W7</f>
        <v>1344034.1</v>
      </c>
      <c r="R9" s="20">
        <f>'Orcamento - Access'!X7</f>
        <v>0.66420000000000001</v>
      </c>
      <c r="S9" s="19">
        <f>'Orcamento - Access'!AA7</f>
        <v>1344034.1</v>
      </c>
      <c r="T9" s="20">
        <f>'Orcamento - Access'!AB7</f>
        <v>0.66420000000000001</v>
      </c>
    </row>
    <row r="10" spans="1:20" ht="30" customHeight="1" x14ac:dyDescent="0.2">
      <c r="A10" s="18" t="str">
        <f>'Orcamento - Access'!A8</f>
        <v>0569.3755</v>
      </c>
      <c r="B10" s="18" t="str">
        <f>'Orcamento - Access'!B8</f>
        <v>Prestação Jurisdicional na Justiça Federal / Implantação de Varas Federais</v>
      </c>
      <c r="C10" s="18" t="str">
        <f>'Orcamento - Access'!C8</f>
        <v>02.122</v>
      </c>
      <c r="D10" s="18" t="str">
        <f>'Orcamento - Access'!D8</f>
        <v>F</v>
      </c>
      <c r="E10" s="18" t="str">
        <f>'Orcamento - Access'!E8</f>
        <v>4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6840947</v>
      </c>
      <c r="M10" s="19">
        <f>'Orcamento - Access'!M8</f>
        <v>0</v>
      </c>
      <c r="N10" s="19">
        <f>'Orcamento - Access'!N8</f>
        <v>6840947</v>
      </c>
      <c r="O10" s="19">
        <f>'Orcamento - Access'!R8</f>
        <v>6834430.2199999997</v>
      </c>
      <c r="P10" s="20">
        <f>'Orcamento - Access'!S8</f>
        <v>0.999</v>
      </c>
      <c r="Q10" s="19">
        <f>'Orcamento - Access'!W8</f>
        <v>1591342.68</v>
      </c>
      <c r="R10" s="20">
        <f>'Orcamento - Access'!X8</f>
        <v>0.2326</v>
      </c>
      <c r="S10" s="19">
        <f>'Orcamento - Access'!AA8</f>
        <v>1590665.08</v>
      </c>
      <c r="T10" s="20">
        <f>'Orcamento - Access'!AB8</f>
        <v>0.23250000000000001</v>
      </c>
    </row>
    <row r="11" spans="1:20" ht="30" customHeight="1" x14ac:dyDescent="0.2">
      <c r="A11" s="18" t="str">
        <f>'Orcamento - Access'!A9</f>
        <v>0569.3755</v>
      </c>
      <c r="B11" s="18" t="str">
        <f>'Orcamento - Access'!B9</f>
        <v>Prestação Jurisdicional na Justiça Federal / Implantação de Varas Federais</v>
      </c>
      <c r="C11" s="18" t="str">
        <f>'Orcamento - Access'!C9</f>
        <v>02.122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630000</v>
      </c>
      <c r="M11" s="19">
        <f>'Orcamento - Access'!M9</f>
        <v>0</v>
      </c>
      <c r="N11" s="19">
        <f>'Orcamento - Access'!N9</f>
        <v>630000</v>
      </c>
      <c r="O11" s="19">
        <f>'Orcamento - Access'!R9</f>
        <v>629953.23</v>
      </c>
      <c r="P11" s="20">
        <f>'Orcamento - Access'!S9</f>
        <v>0.99990000000000001</v>
      </c>
      <c r="Q11" s="19">
        <f>'Orcamento - Access'!W9</f>
        <v>251772.59</v>
      </c>
      <c r="R11" s="20">
        <f>'Orcamento - Access'!X9</f>
        <v>0.39960000000000001</v>
      </c>
      <c r="S11" s="19">
        <f>'Orcamento - Access'!AA9</f>
        <v>250853.29</v>
      </c>
      <c r="T11" s="20">
        <f>'Orcamento - Access'!AB9</f>
        <v>0.3982</v>
      </c>
    </row>
    <row r="12" spans="1:20" ht="30" customHeight="1" x14ac:dyDescent="0.2">
      <c r="A12" s="18" t="str">
        <f>'Orcamento - Access'!A10</f>
        <v>0569.2012</v>
      </c>
      <c r="B12" s="18" t="str">
        <f>'Orcamento - Access'!B10</f>
        <v>Prestação Jurisdicional na Justiça Federal / Auxílio Alimentação aos Servid. E Empreg.</v>
      </c>
      <c r="C12" s="18" t="str">
        <f>'Orcamento - Access'!C10</f>
        <v>02.306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27244633</v>
      </c>
      <c r="M12" s="19">
        <f>'Orcamento - Access'!M10</f>
        <v>0</v>
      </c>
      <c r="N12" s="19">
        <f>'Orcamento - Access'!N10</f>
        <v>27244633</v>
      </c>
      <c r="O12" s="19">
        <f>'Orcamento - Access'!R10</f>
        <v>26975449</v>
      </c>
      <c r="P12" s="20">
        <f>'Orcamento - Access'!S10</f>
        <v>0.99009999999999998</v>
      </c>
      <c r="Q12" s="19">
        <f>'Orcamento - Access'!W10</f>
        <v>26957699.66</v>
      </c>
      <c r="R12" s="20">
        <f>'Orcamento - Access'!X10</f>
        <v>0.98950000000000005</v>
      </c>
      <c r="S12" s="19">
        <f>'Orcamento - Access'!AA10</f>
        <v>26957699.66</v>
      </c>
      <c r="T12" s="20">
        <f>'Orcamento - Access'!AB10</f>
        <v>0.98950000000000005</v>
      </c>
    </row>
    <row r="13" spans="1:20" ht="30" customHeight="1" x14ac:dyDescent="0.2">
      <c r="A13" s="18" t="str">
        <f>'Orcamento - Access'!A11</f>
        <v>0569.2011</v>
      </c>
      <c r="B13" s="18" t="str">
        <f>'Orcamento - Access'!B11</f>
        <v>Prestação Jurisdicional na Justiça Federal / Auxílo Transporte aos Servidores e Empreg.</v>
      </c>
      <c r="C13" s="18" t="str">
        <f>'Orcamento - Access'!C11</f>
        <v>02.331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1095422</v>
      </c>
      <c r="M13" s="19">
        <f>'Orcamento - Access'!M11</f>
        <v>0</v>
      </c>
      <c r="N13" s="19">
        <f>'Orcamento - Access'!N11</f>
        <v>1095422</v>
      </c>
      <c r="O13" s="19">
        <f>'Orcamento - Access'!R11</f>
        <v>1095422</v>
      </c>
      <c r="P13" s="20">
        <f>'Orcamento - Access'!S11</f>
        <v>1</v>
      </c>
      <c r="Q13" s="19">
        <f>'Orcamento - Access'!W11</f>
        <v>1074549.9099999999</v>
      </c>
      <c r="R13" s="20">
        <f>'Orcamento - Access'!X11</f>
        <v>0.98089999999999999</v>
      </c>
      <c r="S13" s="19">
        <f>'Orcamento - Access'!AA11</f>
        <v>1074549.9099999999</v>
      </c>
      <c r="T13" s="20">
        <f>'Orcamento - Access'!AB11</f>
        <v>0.98089999999999999</v>
      </c>
    </row>
    <row r="14" spans="1:20" ht="30" customHeight="1" x14ac:dyDescent="0.2">
      <c r="A14" s="18" t="str">
        <f>'Orcamento - Access'!A12</f>
        <v>0569.2010</v>
      </c>
      <c r="B14" s="18" t="str">
        <f>'Orcamento - Access'!B12</f>
        <v>Prestação Jurisdicional na Justiça Federal / Assist. Pré-Escolar aos Dep. dos Serv e Emp.</v>
      </c>
      <c r="C14" s="18" t="str">
        <f>'Orcamento - Access'!C12</f>
        <v>02.365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3871530</v>
      </c>
      <c r="M14" s="19">
        <f>'Orcamento - Access'!M12</f>
        <v>0</v>
      </c>
      <c r="N14" s="19">
        <f>'Orcamento - Access'!N12</f>
        <v>3871530</v>
      </c>
      <c r="O14" s="19">
        <f>'Orcamento - Access'!R12</f>
        <v>3680102.5</v>
      </c>
      <c r="P14" s="20">
        <f>'Orcamento - Access'!S12</f>
        <v>0.9506</v>
      </c>
      <c r="Q14" s="19">
        <f>'Orcamento - Access'!W12</f>
        <v>3680102.5</v>
      </c>
      <c r="R14" s="20">
        <f>'Orcamento - Access'!X12</f>
        <v>0.9506</v>
      </c>
      <c r="S14" s="19">
        <f>'Orcamento - Access'!AA12</f>
        <v>3680102.5</v>
      </c>
      <c r="T14" s="20">
        <f>'Orcamento - Access'!AB12</f>
        <v>0.9506</v>
      </c>
    </row>
    <row r="15" spans="1:20" ht="30" customHeight="1" x14ac:dyDescent="0.2">
      <c r="A15" s="18" t="str">
        <f>'Orcamento - Access'!A13</f>
        <v>0569.2004</v>
      </c>
      <c r="B15" s="18" t="str">
        <f>'Orcamento - Access'!B13</f>
        <v>Prestação Jurisdicional na Justiça Federal / Assist. Médica e Odontol. a Servid. e Empreg.</v>
      </c>
      <c r="C15" s="18" t="str">
        <f>'Orcamento - Access'!C13</f>
        <v>02.301</v>
      </c>
      <c r="D15" s="18" t="str">
        <f>'Orcamento - Access'!D13</f>
        <v>S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27500</v>
      </c>
      <c r="M15" s="19">
        <f>'Orcamento - Access'!M13</f>
        <v>0</v>
      </c>
      <c r="N15" s="19">
        <f>'Orcamento - Access'!N13</f>
        <v>27500</v>
      </c>
      <c r="O15" s="19">
        <f>'Orcamento - Access'!R13</f>
        <v>15387.94</v>
      </c>
      <c r="P15" s="20">
        <f>'Orcamento - Access'!S13</f>
        <v>0.55959999999999999</v>
      </c>
      <c r="Q15" s="19">
        <f>'Orcamento - Access'!W13</f>
        <v>6517.94</v>
      </c>
      <c r="R15" s="20">
        <f>'Orcamento - Access'!X13</f>
        <v>0.23699999999999999</v>
      </c>
      <c r="S15" s="19">
        <f>'Orcamento - Access'!AA13</f>
        <v>6517.94</v>
      </c>
      <c r="T15" s="20">
        <f>'Orcamento - Access'!AB13</f>
        <v>0.23699999999999999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3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10966686</v>
      </c>
      <c r="M16" s="19">
        <f>'Orcamento - Access'!M14</f>
        <v>0</v>
      </c>
      <c r="N16" s="19">
        <f>'Orcamento - Access'!N14</f>
        <v>10966686</v>
      </c>
      <c r="O16" s="19">
        <f>'Orcamento - Access'!R14</f>
        <v>10962526.52</v>
      </c>
      <c r="P16" s="20">
        <f>'Orcamento - Access'!S14</f>
        <v>0.99960000000000004</v>
      </c>
      <c r="Q16" s="19">
        <f>'Orcamento - Access'!W14</f>
        <v>9006346.5800000001</v>
      </c>
      <c r="R16" s="20">
        <f>'Orcamento - Access'!X14</f>
        <v>0.82120000000000004</v>
      </c>
      <c r="S16" s="19">
        <f>'Orcamento - Access'!AA14</f>
        <v>9005808.9199999999</v>
      </c>
      <c r="T16" s="20">
        <f>'Orcamento - Access'!AB14</f>
        <v>0.82120000000000004</v>
      </c>
    </row>
    <row r="17" spans="1:20" ht="30" customHeight="1" x14ac:dyDescent="0.2">
      <c r="A17" s="18" t="str">
        <f>'Orcamento - Access'!A15</f>
        <v>0569.1136</v>
      </c>
      <c r="B17" s="18" t="str">
        <f>'Orcamento - Access'!B15</f>
        <v>Prestação Jurisdicional na Justiça Federal / Modernização de Instalação da Justiça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717600</v>
      </c>
      <c r="M17" s="19">
        <f>'Orcamento - Access'!M15</f>
        <v>0</v>
      </c>
      <c r="N17" s="19">
        <f>'Orcamento - Access'!N15</f>
        <v>717600</v>
      </c>
      <c r="O17" s="19">
        <f>'Orcamento - Access'!R15</f>
        <v>710886.51</v>
      </c>
      <c r="P17" s="20">
        <f>'Orcamento - Access'!S15</f>
        <v>0.99060000000000004</v>
      </c>
      <c r="Q17" s="19">
        <f>'Orcamento - Access'!W15</f>
        <v>47491.51</v>
      </c>
      <c r="R17" s="20">
        <f>'Orcamento - Access'!X15</f>
        <v>6.6199999999999995E-2</v>
      </c>
      <c r="S17" s="19">
        <f>'Orcamento - Access'!AA15</f>
        <v>47491.51</v>
      </c>
      <c r="T17" s="20">
        <f>'Orcamento - Access'!AB15</f>
        <v>6.6199999999999995E-2</v>
      </c>
    </row>
    <row r="18" spans="1:20" ht="30" customHeight="1" x14ac:dyDescent="0.2">
      <c r="A18" s="18" t="str">
        <f>'Orcamento - Access'!A16</f>
        <v>0569.103D</v>
      </c>
      <c r="B18" s="18" t="str">
        <f>'Orcamento - Access'!B16</f>
        <v>Prestação Jurisdicional na Justiça Federal / Construção de Edifício Sede de São José dos Campos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4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6245900</v>
      </c>
      <c r="M18" s="19">
        <f>'Orcamento - Access'!M16</f>
        <v>0</v>
      </c>
      <c r="N18" s="19">
        <f>'Orcamento - Access'!N16</f>
        <v>6245900</v>
      </c>
      <c r="O18" s="19">
        <f>'Orcamento - Access'!R16</f>
        <v>4981157.6900000004</v>
      </c>
      <c r="P18" s="20">
        <f>'Orcamento - Access'!S16</f>
        <v>0.79749999999999999</v>
      </c>
      <c r="Q18" s="19">
        <f>'Orcamento - Access'!W16</f>
        <v>2525927.5699999998</v>
      </c>
      <c r="R18" s="20">
        <f>'Orcamento - Access'!X16</f>
        <v>0.40439999999999998</v>
      </c>
      <c r="S18" s="19">
        <f>'Orcamento - Access'!AA16</f>
        <v>2525927.5699999998</v>
      </c>
      <c r="T18" s="20">
        <f>'Orcamento - Access'!AB16</f>
        <v>0.40439999999999998</v>
      </c>
    </row>
    <row r="19" spans="1:20" ht="30" customHeight="1" x14ac:dyDescent="0.2">
      <c r="A19" s="18" t="str">
        <f>'Orcamento - Access'!A17</f>
        <v>0569.09HB</v>
      </c>
      <c r="B19" s="18" t="str">
        <f>'Orcamento - Access'!B17</f>
        <v>Prestação Jurisdicional na Justiça Federal / Contribuição da União, de suas Autarquias - Nacional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109014172.40000001</v>
      </c>
      <c r="M19" s="19">
        <f>'Orcamento - Access'!M17</f>
        <v>0</v>
      </c>
      <c r="N19" s="19">
        <f>'Orcamento - Access'!N17</f>
        <v>109014172.40000001</v>
      </c>
      <c r="O19" s="19">
        <f>'Orcamento - Access'!R17</f>
        <v>109014169.77</v>
      </c>
      <c r="P19" s="20">
        <f>'Orcamento - Access'!S17</f>
        <v>1</v>
      </c>
      <c r="Q19" s="19">
        <f>'Orcamento - Access'!W17</f>
        <v>109009985.06999999</v>
      </c>
      <c r="R19" s="20">
        <f>'Orcamento - Access'!X17</f>
        <v>1</v>
      </c>
      <c r="S19" s="19">
        <f>'Orcamento - Access'!AA17</f>
        <v>109009985.06999999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9792478.6799999997</v>
      </c>
      <c r="M20" s="19">
        <f>'Orcamento - Access'!M18</f>
        <v>0</v>
      </c>
      <c r="N20" s="19">
        <f>'Orcamento - Access'!N18</f>
        <v>9792478.6799999997</v>
      </c>
      <c r="O20" s="19">
        <f>'Orcamento - Access'!R18</f>
        <v>9792477.1799999997</v>
      </c>
      <c r="P20" s="20">
        <f>'Orcamento - Access'!S18</f>
        <v>1</v>
      </c>
      <c r="Q20" s="19">
        <f>'Orcamento - Access'!W18</f>
        <v>8504987.0399999991</v>
      </c>
      <c r="R20" s="20">
        <f>'Orcamento - Access'!X18</f>
        <v>0.86850000000000005</v>
      </c>
      <c r="S20" s="19">
        <f>'Orcamento - Access'!AA18</f>
        <v>8350587.9800000004</v>
      </c>
      <c r="T20" s="20">
        <f>'Orcamento - Access'!AB18</f>
        <v>0.8528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156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71469049</v>
      </c>
      <c r="M21" s="19">
        <f>'Orcamento - Access'!M19</f>
        <v>0</v>
      </c>
      <c r="N21" s="19">
        <f>'Orcamento - Access'!N19</f>
        <v>71469049</v>
      </c>
      <c r="O21" s="19">
        <f>'Orcamento - Access'!R19</f>
        <v>71469029.689999998</v>
      </c>
      <c r="P21" s="20">
        <f>'Orcamento - Access'!S19</f>
        <v>1</v>
      </c>
      <c r="Q21" s="19">
        <f>'Orcamento - Access'!W19</f>
        <v>71469029.689999998</v>
      </c>
      <c r="R21" s="20">
        <f>'Orcamento - Access'!X19</f>
        <v>1</v>
      </c>
      <c r="S21" s="19">
        <f>'Orcamento - Access'!AA19</f>
        <v>71469029.689999998</v>
      </c>
      <c r="T21" s="20">
        <f>'Orcamento - Access'!AB19</f>
        <v>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169</v>
      </c>
      <c r="G22" s="19">
        <f>'Orcamento - Access'!G20</f>
        <v>0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0</v>
      </c>
      <c r="L22" s="19">
        <f>'Orcamento - Access'!L20</f>
        <v>20072471.050000001</v>
      </c>
      <c r="M22" s="19">
        <f>'Orcamento - Access'!M20</f>
        <v>0</v>
      </c>
      <c r="N22" s="19">
        <f>'Orcamento - Access'!N20</f>
        <v>20072471.050000001</v>
      </c>
      <c r="O22" s="19">
        <f>'Orcamento - Access'!R20</f>
        <v>20072468.399999999</v>
      </c>
      <c r="P22" s="20">
        <f>'Orcamento - Access'!S20</f>
        <v>1</v>
      </c>
      <c r="Q22" s="19">
        <f>'Orcamento - Access'!W20</f>
        <v>19793483.210000001</v>
      </c>
      <c r="R22" s="20">
        <f>'Orcamento - Access'!X20</f>
        <v>0.98609999999999998</v>
      </c>
      <c r="S22" s="19">
        <f>'Orcamento - Access'!AA20</f>
        <v>19793483.210000001</v>
      </c>
      <c r="T22" s="20">
        <f>'Orcamento - Access'!AB20</f>
        <v>0.98609999999999998</v>
      </c>
    </row>
    <row r="23" spans="1:20" ht="30" customHeight="1" x14ac:dyDescent="0.2">
      <c r="A23" s="30"/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2"/>
      <c r="Q23" s="31"/>
      <c r="R23" s="32"/>
      <c r="S23" s="31"/>
      <c r="T23" s="32"/>
    </row>
    <row r="24" spans="1:20" ht="30" customHeight="1" x14ac:dyDescent="0.2">
      <c r="A24" s="18" t="s">
        <v>70</v>
      </c>
      <c r="B24" s="18"/>
      <c r="C24" s="18"/>
      <c r="D24" s="18"/>
      <c r="E24" s="18"/>
      <c r="F24" s="18"/>
      <c r="G24" s="19">
        <f>SUM(G4:G22)</f>
        <v>0</v>
      </c>
      <c r="H24" s="19">
        <f>SUM(H4:H22)</f>
        <v>0</v>
      </c>
      <c r="I24" s="19">
        <f t="shared" ref="I24:S24" si="0">SUM(I4:I22)</f>
        <v>0</v>
      </c>
      <c r="J24" s="19">
        <f t="shared" si="0"/>
        <v>0</v>
      </c>
      <c r="K24" s="19">
        <f t="shared" si="0"/>
        <v>0</v>
      </c>
      <c r="L24" s="19">
        <f t="shared" si="0"/>
        <v>990401726.04999983</v>
      </c>
      <c r="M24" s="19">
        <f t="shared" si="0"/>
        <v>0</v>
      </c>
      <c r="N24" s="19">
        <f t="shared" si="0"/>
        <v>990401726.04999983</v>
      </c>
      <c r="O24" s="19">
        <f t="shared" si="0"/>
        <v>988549591.99000013</v>
      </c>
      <c r="P24" s="19"/>
      <c r="Q24" s="19">
        <f t="shared" si="0"/>
        <v>957865964.48000026</v>
      </c>
      <c r="R24" s="19"/>
      <c r="S24" s="19">
        <f t="shared" si="0"/>
        <v>956536174.34000015</v>
      </c>
      <c r="T24" s="19"/>
    </row>
    <row r="27" spans="1:20" x14ac:dyDescent="0.2">
      <c r="B27" s="157" t="s">
        <v>112</v>
      </c>
      <c r="C27" s="157"/>
    </row>
    <row r="29" spans="1:20" x14ac:dyDescent="0.2">
      <c r="B29" s="26" t="s">
        <v>116</v>
      </c>
      <c r="C29" s="84">
        <v>990401726.04999995</v>
      </c>
    </row>
    <row r="30" spans="1:20" x14ac:dyDescent="0.2">
      <c r="B30" s="26" t="s">
        <v>96</v>
      </c>
      <c r="C30" s="28">
        <f>SUM(C29:C29)</f>
        <v>990401726.04999995</v>
      </c>
    </row>
    <row r="31" spans="1:20" x14ac:dyDescent="0.2">
      <c r="B31" s="26" t="s">
        <v>97</v>
      </c>
      <c r="C31" s="28">
        <f>SUM(N4:N22)</f>
        <v>990401726.04999983</v>
      </c>
    </row>
    <row r="32" spans="1:20" x14ac:dyDescent="0.2">
      <c r="B32" s="21" t="s">
        <v>264</v>
      </c>
      <c r="C32" s="22">
        <v>990401726.04999995</v>
      </c>
    </row>
    <row r="34" spans="2:7" x14ac:dyDescent="0.2">
      <c r="B34" s="157" t="s">
        <v>113</v>
      </c>
      <c r="C34" s="157"/>
    </row>
    <row r="36" spans="2:7" x14ac:dyDescent="0.2">
      <c r="B36" s="26" t="s">
        <v>127</v>
      </c>
      <c r="C36" s="84">
        <v>988549591.99000001</v>
      </c>
      <c r="G36" s="34"/>
    </row>
    <row r="37" spans="2:7" x14ac:dyDescent="0.2">
      <c r="B37" s="26" t="s">
        <v>96</v>
      </c>
      <c r="C37" s="28">
        <f>SUM(C36:C36)</f>
        <v>988549591.99000001</v>
      </c>
    </row>
    <row r="38" spans="2:7" x14ac:dyDescent="0.2">
      <c r="B38" s="26" t="s">
        <v>97</v>
      </c>
      <c r="C38" s="28">
        <f>SUM(O4:O22)</f>
        <v>988549591.99000013</v>
      </c>
    </row>
    <row r="41" spans="2:7" x14ac:dyDescent="0.2">
      <c r="B41" s="157" t="s">
        <v>114</v>
      </c>
      <c r="C41" s="157"/>
    </row>
    <row r="43" spans="2:7" x14ac:dyDescent="0.2">
      <c r="B43" s="26" t="s">
        <v>128</v>
      </c>
      <c r="C43" s="84">
        <v>957864016.10000002</v>
      </c>
    </row>
    <row r="44" spans="2:7" x14ac:dyDescent="0.2">
      <c r="B44" s="26" t="s">
        <v>97</v>
      </c>
      <c r="C44" s="28">
        <f>SUM(Q4:Q22)</f>
        <v>957865964.48000026</v>
      </c>
      <c r="D44" s="22">
        <f>+C44-C43</f>
        <v>1948.3800002336502</v>
      </c>
    </row>
    <row r="45" spans="2:7" x14ac:dyDescent="0.2">
      <c r="C45" s="85"/>
    </row>
    <row r="47" spans="2:7" x14ac:dyDescent="0.2">
      <c r="B47" s="157" t="s">
        <v>115</v>
      </c>
      <c r="C47" s="157"/>
    </row>
    <row r="49" spans="2:3" x14ac:dyDescent="0.2">
      <c r="B49" s="26" t="s">
        <v>124</v>
      </c>
      <c r="C49" s="84">
        <v>145465595.25999999</v>
      </c>
    </row>
    <row r="50" spans="2:3" x14ac:dyDescent="0.2">
      <c r="B50" s="26" t="s">
        <v>123</v>
      </c>
      <c r="C50" s="84">
        <v>811070579.08000004</v>
      </c>
    </row>
    <row r="51" spans="2:3" x14ac:dyDescent="0.2">
      <c r="B51" s="26" t="s">
        <v>96</v>
      </c>
      <c r="C51" s="28">
        <f>SUM(C49:C50)</f>
        <v>956536174.34000003</v>
      </c>
    </row>
    <row r="52" spans="2:3" x14ac:dyDescent="0.2">
      <c r="B52" s="26" t="s">
        <v>97</v>
      </c>
      <c r="C52" s="28">
        <f>SUM(S4:S22)</f>
        <v>956536174.34000015</v>
      </c>
    </row>
  </sheetData>
  <mergeCells count="5">
    <mergeCell ref="B34:C34"/>
    <mergeCell ref="B41:C41"/>
    <mergeCell ref="B47:C47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3" orientation="landscape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Q44"/>
  <sheetViews>
    <sheetView topLeftCell="E1" zoomScaleNormal="100" workbookViewId="0">
      <selection activeCell="F11" sqref="F11"/>
    </sheetView>
  </sheetViews>
  <sheetFormatPr defaultRowHeight="12.75" x14ac:dyDescent="0.2"/>
  <cols>
    <col min="1" max="1" width="11.140625" customWidth="1"/>
    <col min="2" max="2" width="13" customWidth="1"/>
    <col min="3" max="3" width="33.28515625" bestFit="1" customWidth="1"/>
    <col min="4" max="4" width="81.140625" bestFit="1" customWidth="1"/>
    <col min="5" max="5" width="13.85546875" bestFit="1" customWidth="1"/>
    <col min="6" max="14" width="12.7109375" customWidth="1"/>
    <col min="15" max="15" width="13.85546875" customWidth="1"/>
    <col min="16" max="16" width="15" customWidth="1"/>
    <col min="17" max="17" width="19.7109375" bestFit="1" customWidth="1"/>
  </cols>
  <sheetData>
    <row r="1" spans="1:17" ht="15" x14ac:dyDescent="0.25">
      <c r="A1" s="96" t="s">
        <v>145</v>
      </c>
      <c r="B1" s="96" t="s">
        <v>129</v>
      </c>
      <c r="C1" s="96" t="s">
        <v>130</v>
      </c>
      <c r="D1" s="96" t="s">
        <v>131</v>
      </c>
      <c r="E1" s="96" t="s">
        <v>132</v>
      </c>
      <c r="F1" s="96" t="s">
        <v>133</v>
      </c>
      <c r="G1" s="96" t="s">
        <v>134</v>
      </c>
      <c r="H1" s="96" t="s">
        <v>135</v>
      </c>
      <c r="I1" s="96" t="s">
        <v>136</v>
      </c>
      <c r="J1" s="96" t="s">
        <v>137</v>
      </c>
      <c r="K1" s="96" t="s">
        <v>138</v>
      </c>
      <c r="L1" s="96" t="s">
        <v>139</v>
      </c>
      <c r="M1" s="96" t="s">
        <v>140</v>
      </c>
      <c r="N1" s="96" t="s">
        <v>141</v>
      </c>
      <c r="O1" s="96" t="s">
        <v>142</v>
      </c>
      <c r="P1" s="96" t="s">
        <v>143</v>
      </c>
      <c r="Q1" s="96" t="s">
        <v>95</v>
      </c>
    </row>
    <row r="2" spans="1:17" ht="15" x14ac:dyDescent="0.25">
      <c r="A2" s="97" t="s">
        <v>0</v>
      </c>
      <c r="B2" s="97" t="s">
        <v>280</v>
      </c>
      <c r="C2" s="97" t="s">
        <v>281</v>
      </c>
      <c r="D2" s="97" t="s">
        <v>325</v>
      </c>
      <c r="E2" s="98">
        <v>105821339.01000001</v>
      </c>
      <c r="F2" s="98">
        <v>73006074.140000001</v>
      </c>
      <c r="G2" s="98">
        <v>71728141.180000007</v>
      </c>
      <c r="H2" s="98">
        <v>72151940.650000006</v>
      </c>
      <c r="I2" s="98">
        <v>71898921.430000007</v>
      </c>
      <c r="J2" s="98">
        <v>76251253.349999994</v>
      </c>
      <c r="K2" s="98">
        <v>72687387.390000001</v>
      </c>
      <c r="L2" s="98">
        <v>73240117.5</v>
      </c>
      <c r="M2" s="98">
        <v>72778901.049999997</v>
      </c>
      <c r="N2" s="98">
        <v>73673102.239999995</v>
      </c>
      <c r="O2" s="98">
        <v>120431133.28</v>
      </c>
      <c r="P2" s="98">
        <v>79344926.290000007</v>
      </c>
      <c r="Q2" s="97" t="s">
        <v>397</v>
      </c>
    </row>
    <row r="3" spans="1:17" ht="15" x14ac:dyDescent="0.25">
      <c r="A3" s="97" t="s">
        <v>0</v>
      </c>
      <c r="B3" s="97" t="s">
        <v>282</v>
      </c>
      <c r="C3" s="97" t="s">
        <v>281</v>
      </c>
      <c r="D3" s="97" t="s">
        <v>350</v>
      </c>
      <c r="E3" s="98">
        <v>19837540.780000001</v>
      </c>
      <c r="F3" s="98">
        <v>13797349.98</v>
      </c>
      <c r="G3" s="98">
        <v>13483902.73</v>
      </c>
      <c r="H3" s="98">
        <v>13509141.33</v>
      </c>
      <c r="I3" s="98">
        <v>13727301.880000001</v>
      </c>
      <c r="J3" s="98">
        <v>13980720.43</v>
      </c>
      <c r="K3" s="98">
        <v>14081119.720000001</v>
      </c>
      <c r="L3" s="98">
        <v>14170908.300000001</v>
      </c>
      <c r="M3" s="98">
        <v>14139545.51</v>
      </c>
      <c r="N3" s="98">
        <v>14156952.789999999</v>
      </c>
      <c r="O3" s="98">
        <v>22794696.93</v>
      </c>
      <c r="P3" s="98">
        <v>16217890.609999999</v>
      </c>
      <c r="Q3" s="97" t="s">
        <v>397</v>
      </c>
    </row>
    <row r="4" spans="1:17" ht="30" x14ac:dyDescent="0.25">
      <c r="A4" s="97" t="s">
        <v>0</v>
      </c>
      <c r="B4" s="97" t="s">
        <v>283</v>
      </c>
      <c r="C4" s="97" t="s">
        <v>281</v>
      </c>
      <c r="D4" s="97" t="s">
        <v>351</v>
      </c>
      <c r="E4" s="98">
        <v>13682846.93</v>
      </c>
      <c r="F4" s="98">
        <v>13137084.439999999</v>
      </c>
      <c r="G4" s="98">
        <v>13290431.279999999</v>
      </c>
      <c r="H4" s="98">
        <v>13350241.48</v>
      </c>
      <c r="I4" s="98">
        <v>13236351.02</v>
      </c>
      <c r="J4" s="98">
        <v>13764371.869999999</v>
      </c>
      <c r="K4" s="98">
        <v>13455009.710000001</v>
      </c>
      <c r="L4" s="98">
        <v>13561132.66</v>
      </c>
      <c r="M4" s="98">
        <v>13596847.9</v>
      </c>
      <c r="N4" s="98">
        <v>13628931.449999999</v>
      </c>
      <c r="O4" s="98">
        <v>28486067.239999998</v>
      </c>
      <c r="P4" s="98">
        <v>14215634.15</v>
      </c>
      <c r="Q4" s="97" t="s">
        <v>397</v>
      </c>
    </row>
    <row r="5" spans="1:17" ht="45" x14ac:dyDescent="0.25">
      <c r="A5" s="97" t="s">
        <v>0</v>
      </c>
      <c r="B5" s="97" t="s">
        <v>284</v>
      </c>
      <c r="C5" s="97" t="s">
        <v>281</v>
      </c>
      <c r="D5" s="97" t="s">
        <v>326</v>
      </c>
      <c r="E5" s="98">
        <v>0</v>
      </c>
      <c r="F5" s="98">
        <v>0</v>
      </c>
      <c r="G5" s="98">
        <v>0</v>
      </c>
      <c r="H5" s="98">
        <v>0</v>
      </c>
      <c r="I5" s="98">
        <v>0</v>
      </c>
      <c r="J5" s="98">
        <v>0</v>
      </c>
      <c r="K5" s="98">
        <v>0</v>
      </c>
      <c r="L5" s="98">
        <v>0</v>
      </c>
      <c r="M5" s="98">
        <v>0</v>
      </c>
      <c r="N5" s="98">
        <v>0</v>
      </c>
      <c r="O5" s="98">
        <v>0</v>
      </c>
      <c r="P5" s="98">
        <v>0</v>
      </c>
      <c r="Q5" s="97" t="s">
        <v>397</v>
      </c>
    </row>
    <row r="6" spans="1:17" ht="30" x14ac:dyDescent="0.25">
      <c r="A6" s="97" t="s">
        <v>285</v>
      </c>
      <c r="B6" s="97" t="s">
        <v>286</v>
      </c>
      <c r="C6" s="97" t="s">
        <v>287</v>
      </c>
      <c r="D6" s="97" t="s">
        <v>336</v>
      </c>
      <c r="E6" s="98">
        <v>108272.65</v>
      </c>
      <c r="F6" s="98">
        <v>51023.33</v>
      </c>
      <c r="G6" s="98">
        <v>125623.96</v>
      </c>
      <c r="H6" s="98">
        <v>121123.13</v>
      </c>
      <c r="I6" s="98">
        <v>133365.03</v>
      </c>
      <c r="J6" s="98">
        <v>112677.42</v>
      </c>
      <c r="K6" s="98">
        <v>185420.4</v>
      </c>
      <c r="L6" s="98">
        <v>122334.72</v>
      </c>
      <c r="M6" s="98">
        <v>153510.96</v>
      </c>
      <c r="N6" s="98">
        <v>238950.75</v>
      </c>
      <c r="O6" s="98">
        <v>150470.79</v>
      </c>
      <c r="P6" s="98">
        <v>-160027.18</v>
      </c>
      <c r="Q6" s="97" t="s">
        <v>397</v>
      </c>
    </row>
    <row r="7" spans="1:17" ht="30" x14ac:dyDescent="0.25">
      <c r="A7" s="97" t="s">
        <v>285</v>
      </c>
      <c r="B7" s="97" t="s">
        <v>288</v>
      </c>
      <c r="C7" s="97" t="s">
        <v>287</v>
      </c>
      <c r="D7" s="97" t="s">
        <v>335</v>
      </c>
      <c r="E7" s="98">
        <v>4037389.26</v>
      </c>
      <c r="F7" s="98">
        <v>4078578.19</v>
      </c>
      <c r="G7" s="98">
        <v>4033100.17</v>
      </c>
      <c r="H7" s="98">
        <v>4027306.02</v>
      </c>
      <c r="I7" s="98">
        <v>4028398.4</v>
      </c>
      <c r="J7" s="98">
        <v>4021370.89</v>
      </c>
      <c r="K7" s="98">
        <v>4000614.1</v>
      </c>
      <c r="L7" s="98">
        <v>4024053.2</v>
      </c>
      <c r="M7" s="98">
        <v>4028026.96</v>
      </c>
      <c r="N7" s="98">
        <v>4006007.06</v>
      </c>
      <c r="O7" s="98">
        <v>4088339.12</v>
      </c>
      <c r="P7" s="98">
        <v>3858775.85</v>
      </c>
      <c r="Q7" s="97" t="s">
        <v>397</v>
      </c>
    </row>
    <row r="8" spans="1:17" ht="15" x14ac:dyDescent="0.25">
      <c r="A8" s="97" t="s">
        <v>285</v>
      </c>
      <c r="B8" s="97" t="s">
        <v>289</v>
      </c>
      <c r="C8" s="97" t="s">
        <v>287</v>
      </c>
      <c r="D8" s="97" t="s">
        <v>338</v>
      </c>
      <c r="E8" s="98">
        <v>522153</v>
      </c>
      <c r="F8" s="98">
        <v>551511</v>
      </c>
      <c r="G8" s="98">
        <v>551511</v>
      </c>
      <c r="H8" s="98">
        <v>555705</v>
      </c>
      <c r="I8" s="98">
        <v>559200</v>
      </c>
      <c r="J8" s="98">
        <v>577374</v>
      </c>
      <c r="K8" s="98">
        <v>574578</v>
      </c>
      <c r="L8" s="98">
        <v>587160</v>
      </c>
      <c r="M8" s="98">
        <v>589956</v>
      </c>
      <c r="N8" s="98">
        <v>589257</v>
      </c>
      <c r="O8" s="98">
        <v>601140</v>
      </c>
      <c r="P8" s="98">
        <v>592049.4</v>
      </c>
      <c r="Q8" s="97" t="s">
        <v>397</v>
      </c>
    </row>
    <row r="9" spans="1:17" ht="30" x14ac:dyDescent="0.25">
      <c r="A9" s="97" t="s">
        <v>285</v>
      </c>
      <c r="B9" s="97" t="s">
        <v>290</v>
      </c>
      <c r="C9" s="97" t="s">
        <v>287</v>
      </c>
      <c r="D9" s="97" t="s">
        <v>343</v>
      </c>
      <c r="E9" s="98">
        <v>342181.59</v>
      </c>
      <c r="F9" s="98">
        <v>2220858.7200000002</v>
      </c>
      <c r="G9" s="98">
        <v>2206466.29</v>
      </c>
      <c r="H9" s="98">
        <v>1940761.36</v>
      </c>
      <c r="I9" s="98">
        <v>1928160.38</v>
      </c>
      <c r="J9" s="98">
        <v>1931109.47</v>
      </c>
      <c r="K9" s="98">
        <v>1909720.89</v>
      </c>
      <c r="L9" s="98">
        <v>1901454.35</v>
      </c>
      <c r="M9" s="98">
        <v>2197767.77</v>
      </c>
      <c r="N9" s="98">
        <v>2053997.2</v>
      </c>
      <c r="O9" s="98">
        <v>2075275.08</v>
      </c>
      <c r="P9" s="98">
        <v>-1445756.22</v>
      </c>
      <c r="Q9" s="97" t="s">
        <v>397</v>
      </c>
    </row>
    <row r="10" spans="1:17" ht="15" x14ac:dyDescent="0.25">
      <c r="A10" s="97" t="s">
        <v>285</v>
      </c>
      <c r="B10" s="97" t="s">
        <v>291</v>
      </c>
      <c r="C10" s="97" t="s">
        <v>287</v>
      </c>
      <c r="D10" s="97" t="s">
        <v>337</v>
      </c>
      <c r="E10" s="98">
        <v>95184.03</v>
      </c>
      <c r="F10" s="98">
        <v>109540.81</v>
      </c>
      <c r="G10" s="98">
        <v>129804.51</v>
      </c>
      <c r="H10" s="98">
        <v>59188.959999999999</v>
      </c>
      <c r="I10" s="98">
        <v>133429.57999999999</v>
      </c>
      <c r="J10" s="98">
        <v>100328.56</v>
      </c>
      <c r="K10" s="98">
        <v>166677.23000000001</v>
      </c>
      <c r="L10" s="98">
        <v>91740.800000000003</v>
      </c>
      <c r="M10" s="98">
        <v>172231.67</v>
      </c>
      <c r="N10" s="98">
        <v>142942.53</v>
      </c>
      <c r="O10" s="98">
        <v>126469.41</v>
      </c>
      <c r="P10" s="98">
        <v>213657.66</v>
      </c>
      <c r="Q10" s="97" t="s">
        <v>397</v>
      </c>
    </row>
    <row r="11" spans="1:17" ht="15" x14ac:dyDescent="0.25">
      <c r="A11" s="97" t="s">
        <v>285</v>
      </c>
      <c r="B11" s="97" t="s">
        <v>292</v>
      </c>
      <c r="C11" s="97" t="s">
        <v>287</v>
      </c>
      <c r="D11" s="97" t="s">
        <v>334</v>
      </c>
      <c r="E11" s="98">
        <v>6019.57</v>
      </c>
      <c r="F11" s="98">
        <v>12003.62</v>
      </c>
      <c r="G11" s="98">
        <v>18718.68</v>
      </c>
      <c r="H11" s="98">
        <v>7686.06</v>
      </c>
      <c r="I11" s="98">
        <v>34331.300000000003</v>
      </c>
      <c r="J11" s="98">
        <v>44335.14</v>
      </c>
      <c r="K11" s="98">
        <v>25964.46</v>
      </c>
      <c r="L11" s="98">
        <v>38085.089999999997</v>
      </c>
      <c r="M11" s="98">
        <v>36756.5</v>
      </c>
      <c r="N11" s="98">
        <v>50735.33</v>
      </c>
      <c r="O11" s="98">
        <v>40308.04</v>
      </c>
      <c r="P11" s="98">
        <v>19261</v>
      </c>
      <c r="Q11" s="97" t="s">
        <v>397</v>
      </c>
    </row>
    <row r="12" spans="1:17" ht="30" x14ac:dyDescent="0.25">
      <c r="A12" s="97" t="s">
        <v>285</v>
      </c>
      <c r="B12" s="97" t="s">
        <v>293</v>
      </c>
      <c r="C12" s="97" t="s">
        <v>287</v>
      </c>
      <c r="D12" s="97" t="s">
        <v>344</v>
      </c>
      <c r="E12" s="98">
        <v>1657088.64</v>
      </c>
      <c r="F12" s="98">
        <v>1671779.91</v>
      </c>
      <c r="G12" s="98">
        <v>2052762.91</v>
      </c>
      <c r="H12" s="98">
        <v>2150378.9300000002</v>
      </c>
      <c r="I12" s="98">
        <v>2019483.66</v>
      </c>
      <c r="J12" s="98">
        <v>3123499.05</v>
      </c>
      <c r="K12" s="98">
        <v>2112829.52</v>
      </c>
      <c r="L12" s="98">
        <v>2342870.58</v>
      </c>
      <c r="M12" s="98">
        <v>2041487.48</v>
      </c>
      <c r="N12" s="98">
        <v>2016599.23</v>
      </c>
      <c r="O12" s="98">
        <v>2439966.86</v>
      </c>
      <c r="P12" s="98">
        <v>1781083.19</v>
      </c>
      <c r="Q12" s="97" t="s">
        <v>397</v>
      </c>
    </row>
    <row r="13" spans="1:17" ht="15" x14ac:dyDescent="0.25">
      <c r="A13" s="97" t="s">
        <v>285</v>
      </c>
      <c r="B13" s="97" t="s">
        <v>294</v>
      </c>
      <c r="C13" s="97" t="s">
        <v>287</v>
      </c>
      <c r="D13" s="97" t="s">
        <v>339</v>
      </c>
      <c r="E13" s="98">
        <v>0</v>
      </c>
      <c r="F13" s="98">
        <v>2449259.4500000002</v>
      </c>
      <c r="G13" s="98">
        <v>2559960.85</v>
      </c>
      <c r="H13" s="98">
        <v>2559960.85</v>
      </c>
      <c r="I13" s="98">
        <v>2608819.0099999998</v>
      </c>
      <c r="J13" s="98">
        <v>2587452.9</v>
      </c>
      <c r="K13" s="98">
        <v>2618488.5299999998</v>
      </c>
      <c r="L13" s="98">
        <v>2612517.4500000002</v>
      </c>
      <c r="M13" s="98">
        <v>2642990.21</v>
      </c>
      <c r="N13" s="98">
        <v>2595438.67</v>
      </c>
      <c r="O13" s="98">
        <v>2595438.67</v>
      </c>
      <c r="P13" s="98">
        <v>3010332.87</v>
      </c>
      <c r="Q13" s="97" t="s">
        <v>397</v>
      </c>
    </row>
    <row r="14" spans="1:17" ht="15" x14ac:dyDescent="0.25">
      <c r="A14" s="97" t="s">
        <v>285</v>
      </c>
      <c r="B14" s="97" t="s">
        <v>295</v>
      </c>
      <c r="C14" s="97" t="s">
        <v>287</v>
      </c>
      <c r="D14" s="97" t="s">
        <v>349</v>
      </c>
      <c r="E14" s="98">
        <v>27524.78</v>
      </c>
      <c r="F14" s="98">
        <v>100371.71</v>
      </c>
      <c r="G14" s="98">
        <v>183813.6</v>
      </c>
      <c r="H14" s="98">
        <v>163859.63</v>
      </c>
      <c r="I14" s="98">
        <v>180392.59</v>
      </c>
      <c r="J14" s="98">
        <v>165332.48000000001</v>
      </c>
      <c r="K14" s="98">
        <v>183127.07</v>
      </c>
      <c r="L14" s="98">
        <v>166168.07999999999</v>
      </c>
      <c r="M14" s="98">
        <v>144411.48000000001</v>
      </c>
      <c r="N14" s="98">
        <v>163201.74</v>
      </c>
      <c r="O14" s="98">
        <v>166959.07</v>
      </c>
      <c r="P14" s="98">
        <v>-89520.09</v>
      </c>
      <c r="Q14" s="97" t="s">
        <v>397</v>
      </c>
    </row>
    <row r="15" spans="1:17" ht="15" x14ac:dyDescent="0.25">
      <c r="A15" s="97" t="s">
        <v>285</v>
      </c>
      <c r="B15" s="97" t="s">
        <v>296</v>
      </c>
      <c r="C15" s="97" t="s">
        <v>287</v>
      </c>
      <c r="D15" s="97" t="s">
        <v>348</v>
      </c>
      <c r="E15" s="98">
        <v>2310.8200000000002</v>
      </c>
      <c r="F15" s="98">
        <v>358610.8</v>
      </c>
      <c r="G15" s="98">
        <v>756953.3</v>
      </c>
      <c r="H15" s="98">
        <v>666123.36</v>
      </c>
      <c r="I15" s="98">
        <v>633331.22</v>
      </c>
      <c r="J15" s="98">
        <v>511680.16</v>
      </c>
      <c r="K15" s="98">
        <v>537162.09</v>
      </c>
      <c r="L15" s="98">
        <v>525864.80000000005</v>
      </c>
      <c r="M15" s="98">
        <v>507996.25</v>
      </c>
      <c r="N15" s="98">
        <v>639639.06000000006</v>
      </c>
      <c r="O15" s="98">
        <v>636520.47</v>
      </c>
      <c r="P15" s="98">
        <v>-416868.39</v>
      </c>
      <c r="Q15" s="97" t="s">
        <v>397</v>
      </c>
    </row>
    <row r="16" spans="1:17" ht="15" x14ac:dyDescent="0.25">
      <c r="A16" s="97" t="s">
        <v>285</v>
      </c>
      <c r="B16" s="97" t="s">
        <v>297</v>
      </c>
      <c r="C16" s="97" t="s">
        <v>287</v>
      </c>
      <c r="D16" s="97" t="s">
        <v>357</v>
      </c>
      <c r="E16" s="98">
        <v>0</v>
      </c>
      <c r="F16" s="98">
        <v>5909.89</v>
      </c>
      <c r="G16" s="98">
        <v>133870.19</v>
      </c>
      <c r="H16" s="98">
        <v>11225.39</v>
      </c>
      <c r="I16" s="98">
        <v>10418.16</v>
      </c>
      <c r="J16" s="98">
        <v>16082.9</v>
      </c>
      <c r="K16" s="98">
        <v>58195.76</v>
      </c>
      <c r="L16" s="98">
        <v>57153.45</v>
      </c>
      <c r="M16" s="98">
        <v>12338.07</v>
      </c>
      <c r="N16" s="98">
        <v>26293.69</v>
      </c>
      <c r="O16" s="98">
        <v>64000.17</v>
      </c>
      <c r="P16" s="98">
        <v>-938482.18</v>
      </c>
      <c r="Q16" s="97" t="s">
        <v>397</v>
      </c>
    </row>
    <row r="17" spans="1:17" ht="15" x14ac:dyDescent="0.25">
      <c r="A17" s="97" t="s">
        <v>285</v>
      </c>
      <c r="B17" s="97" t="s">
        <v>298</v>
      </c>
      <c r="C17" s="97" t="s">
        <v>287</v>
      </c>
      <c r="D17" s="97" t="s">
        <v>342</v>
      </c>
      <c r="E17" s="98">
        <v>0</v>
      </c>
      <c r="F17" s="98">
        <v>151819.91</v>
      </c>
      <c r="G17" s="98">
        <v>1113529.55</v>
      </c>
      <c r="H17" s="98">
        <v>733446.1</v>
      </c>
      <c r="I17" s="98">
        <v>870517.49</v>
      </c>
      <c r="J17" s="98">
        <v>738491.05</v>
      </c>
      <c r="K17" s="98">
        <v>828981.74</v>
      </c>
      <c r="L17" s="98">
        <v>902114.81</v>
      </c>
      <c r="M17" s="98">
        <v>682265.13</v>
      </c>
      <c r="N17" s="98">
        <v>644381.06000000006</v>
      </c>
      <c r="O17" s="98">
        <v>582145.57999999996</v>
      </c>
      <c r="P17" s="98">
        <v>-698581.37</v>
      </c>
      <c r="Q17" s="97" t="s">
        <v>397</v>
      </c>
    </row>
    <row r="18" spans="1:17" ht="75" x14ac:dyDescent="0.25">
      <c r="A18" s="97" t="s">
        <v>285</v>
      </c>
      <c r="B18" s="97" t="s">
        <v>299</v>
      </c>
      <c r="C18" s="97" t="s">
        <v>287</v>
      </c>
      <c r="D18" s="97" t="s">
        <v>361</v>
      </c>
      <c r="E18" s="98">
        <v>0</v>
      </c>
      <c r="F18" s="98">
        <v>82844.05</v>
      </c>
      <c r="G18" s="98">
        <v>615904.99</v>
      </c>
      <c r="H18" s="98">
        <v>313465.46999999997</v>
      </c>
      <c r="I18" s="98">
        <v>505620.13</v>
      </c>
      <c r="J18" s="98">
        <v>208798.35</v>
      </c>
      <c r="K18" s="98">
        <v>392988.74</v>
      </c>
      <c r="L18" s="98">
        <v>686195.54</v>
      </c>
      <c r="M18" s="98">
        <v>464784.35</v>
      </c>
      <c r="N18" s="98">
        <v>549458.13</v>
      </c>
      <c r="O18" s="98">
        <v>379671.13</v>
      </c>
      <c r="P18" s="98">
        <v>930720.66</v>
      </c>
      <c r="Q18" s="97" t="s">
        <v>397</v>
      </c>
    </row>
    <row r="19" spans="1:17" ht="15" x14ac:dyDescent="0.25">
      <c r="A19" s="97" t="s">
        <v>285</v>
      </c>
      <c r="B19" s="97" t="s">
        <v>300</v>
      </c>
      <c r="C19" s="97" t="s">
        <v>287</v>
      </c>
      <c r="D19" s="97" t="s">
        <v>355</v>
      </c>
      <c r="E19" s="98">
        <v>0</v>
      </c>
      <c r="F19" s="98">
        <v>7502.14</v>
      </c>
      <c r="G19" s="98">
        <v>1128681.95</v>
      </c>
      <c r="H19" s="98">
        <v>625637.4</v>
      </c>
      <c r="I19" s="98">
        <v>789285.07</v>
      </c>
      <c r="J19" s="98">
        <v>744004.23</v>
      </c>
      <c r="K19" s="98">
        <v>1459564.15</v>
      </c>
      <c r="L19" s="98">
        <v>687546.86</v>
      </c>
      <c r="M19" s="98">
        <v>838381.5</v>
      </c>
      <c r="N19" s="98">
        <v>254262.6</v>
      </c>
      <c r="O19" s="98">
        <v>1716257.86</v>
      </c>
      <c r="P19" s="98">
        <v>1042948.22</v>
      </c>
      <c r="Q19" s="97" t="s">
        <v>397</v>
      </c>
    </row>
    <row r="20" spans="1:17" ht="15" x14ac:dyDescent="0.25">
      <c r="A20" s="97" t="s">
        <v>285</v>
      </c>
      <c r="B20" s="97" t="s">
        <v>301</v>
      </c>
      <c r="C20" s="97" t="s">
        <v>287</v>
      </c>
      <c r="D20" s="97" t="s">
        <v>354</v>
      </c>
      <c r="E20" s="98">
        <v>0</v>
      </c>
      <c r="F20" s="98">
        <v>2381463.65</v>
      </c>
      <c r="G20" s="98">
        <v>2366641.0099999998</v>
      </c>
      <c r="H20" s="98">
        <v>2366792.29</v>
      </c>
      <c r="I20" s="98">
        <v>2918923.1</v>
      </c>
      <c r="J20" s="98">
        <v>2507292.61</v>
      </c>
      <c r="K20" s="98">
        <v>2841797.46</v>
      </c>
      <c r="L20" s="98">
        <v>2890865.06</v>
      </c>
      <c r="M20" s="98">
        <v>2587987.33</v>
      </c>
      <c r="N20" s="98">
        <v>2578023.0699999998</v>
      </c>
      <c r="O20" s="98">
        <v>2573597.6</v>
      </c>
      <c r="P20" s="98">
        <v>3383900.27</v>
      </c>
      <c r="Q20" s="97" t="s">
        <v>397</v>
      </c>
    </row>
    <row r="21" spans="1:17" ht="15" x14ac:dyDescent="0.25">
      <c r="A21" s="97" t="s">
        <v>285</v>
      </c>
      <c r="B21" s="97" t="s">
        <v>302</v>
      </c>
      <c r="C21" s="97" t="s">
        <v>287</v>
      </c>
      <c r="D21" s="97" t="s">
        <v>345</v>
      </c>
      <c r="E21" s="98">
        <v>0</v>
      </c>
      <c r="F21" s="98">
        <v>302.72000000000003</v>
      </c>
      <c r="G21" s="98">
        <v>8202.41</v>
      </c>
      <c r="H21" s="98">
        <v>321.64</v>
      </c>
      <c r="I21" s="98">
        <v>10730.08</v>
      </c>
      <c r="J21" s="98">
        <v>2332.56</v>
      </c>
      <c r="K21" s="98">
        <v>12131.04</v>
      </c>
      <c r="L21" s="98">
        <v>10403.08</v>
      </c>
      <c r="M21" s="98">
        <v>8143.08</v>
      </c>
      <c r="N21" s="98">
        <v>4196.08</v>
      </c>
      <c r="O21" s="98">
        <v>339.96</v>
      </c>
      <c r="P21" s="98">
        <v>-23126.84</v>
      </c>
      <c r="Q21" s="97" t="s">
        <v>397</v>
      </c>
    </row>
    <row r="22" spans="1:17" ht="30" x14ac:dyDescent="0.25">
      <c r="A22" s="97" t="s">
        <v>285</v>
      </c>
      <c r="B22" s="97" t="s">
        <v>303</v>
      </c>
      <c r="C22" s="97" t="s">
        <v>287</v>
      </c>
      <c r="D22" s="97" t="s">
        <v>341</v>
      </c>
      <c r="E22" s="98">
        <v>0</v>
      </c>
      <c r="F22" s="98">
        <v>722575.08</v>
      </c>
      <c r="G22" s="98">
        <v>374809.06</v>
      </c>
      <c r="H22" s="98">
        <v>26715.4</v>
      </c>
      <c r="I22" s="98">
        <v>856143.01</v>
      </c>
      <c r="J22" s="98">
        <v>788292.33</v>
      </c>
      <c r="K22" s="98">
        <v>875464.22</v>
      </c>
      <c r="L22" s="98">
        <v>344861.77</v>
      </c>
      <c r="M22" s="98">
        <v>722954.76</v>
      </c>
      <c r="N22" s="98">
        <v>1181800.1599999999</v>
      </c>
      <c r="O22" s="98">
        <v>896402.88</v>
      </c>
      <c r="P22" s="98">
        <v>1125085.1200000001</v>
      </c>
      <c r="Q22" s="97" t="s">
        <v>397</v>
      </c>
    </row>
    <row r="23" spans="1:17" ht="15" x14ac:dyDescent="0.25">
      <c r="A23" s="97" t="s">
        <v>285</v>
      </c>
      <c r="B23" s="97" t="s">
        <v>304</v>
      </c>
      <c r="C23" s="97" t="s">
        <v>287</v>
      </c>
      <c r="D23" s="97" t="s">
        <v>352</v>
      </c>
      <c r="E23" s="98">
        <v>9000</v>
      </c>
      <c r="F23" s="98">
        <v>3768</v>
      </c>
      <c r="G23" s="98">
        <v>19133.3</v>
      </c>
      <c r="H23" s="98">
        <v>10398.299999999999</v>
      </c>
      <c r="I23" s="98">
        <v>25072.7</v>
      </c>
      <c r="J23" s="98">
        <v>24594.98</v>
      </c>
      <c r="K23" s="98">
        <v>34404.32</v>
      </c>
      <c r="L23" s="98">
        <v>69425</v>
      </c>
      <c r="M23" s="98">
        <v>51150.52</v>
      </c>
      <c r="N23" s="98">
        <v>49290.6</v>
      </c>
      <c r="O23" s="98">
        <v>145575.06</v>
      </c>
      <c r="P23" s="98">
        <v>77678.399999999994</v>
      </c>
      <c r="Q23" s="97" t="s">
        <v>397</v>
      </c>
    </row>
    <row r="24" spans="1:17" ht="15" x14ac:dyDescent="0.25">
      <c r="A24" s="97" t="s">
        <v>285</v>
      </c>
      <c r="B24" s="97" t="s">
        <v>305</v>
      </c>
      <c r="C24" s="97" t="s">
        <v>287</v>
      </c>
      <c r="D24" s="97" t="s">
        <v>347</v>
      </c>
      <c r="E24" s="98">
        <v>0</v>
      </c>
      <c r="F24" s="98">
        <v>0</v>
      </c>
      <c r="G24" s="98">
        <v>400.55</v>
      </c>
      <c r="H24" s="98">
        <v>170.2</v>
      </c>
      <c r="I24" s="98">
        <v>2239.9299999999998</v>
      </c>
      <c r="J24" s="98">
        <v>152.99</v>
      </c>
      <c r="K24" s="98">
        <v>217.36</v>
      </c>
      <c r="L24" s="98">
        <v>105.54</v>
      </c>
      <c r="M24" s="98">
        <v>63868.28</v>
      </c>
      <c r="N24" s="98">
        <v>855.67</v>
      </c>
      <c r="O24" s="98">
        <v>14100</v>
      </c>
      <c r="P24" s="98">
        <v>-671131.98</v>
      </c>
      <c r="Q24" s="97" t="s">
        <v>397</v>
      </c>
    </row>
    <row r="25" spans="1:17" ht="30" x14ac:dyDescent="0.25">
      <c r="A25" s="97" t="s">
        <v>285</v>
      </c>
      <c r="B25" s="97" t="s">
        <v>306</v>
      </c>
      <c r="C25" s="97" t="s">
        <v>287</v>
      </c>
      <c r="D25" s="97" t="s">
        <v>327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28000</v>
      </c>
      <c r="M25" s="98">
        <v>133187.5</v>
      </c>
      <c r="N25" s="98">
        <v>25811.599999999999</v>
      </c>
      <c r="O25" s="98">
        <v>36000</v>
      </c>
      <c r="P25" s="98">
        <v>-142450.44</v>
      </c>
      <c r="Q25" s="97" t="s">
        <v>397</v>
      </c>
    </row>
    <row r="26" spans="1:17" ht="15" x14ac:dyDescent="0.25">
      <c r="A26" s="97" t="s">
        <v>285</v>
      </c>
      <c r="B26" s="97" t="s">
        <v>307</v>
      </c>
      <c r="C26" s="97" t="s">
        <v>287</v>
      </c>
      <c r="D26" s="97" t="s">
        <v>358</v>
      </c>
      <c r="E26" s="98">
        <v>0</v>
      </c>
      <c r="F26" s="98">
        <v>0</v>
      </c>
      <c r="G26" s="98">
        <v>5600</v>
      </c>
      <c r="H26" s="98">
        <v>0</v>
      </c>
      <c r="I26" s="98">
        <v>21705</v>
      </c>
      <c r="J26" s="98">
        <v>1632</v>
      </c>
      <c r="K26" s="98">
        <v>0</v>
      </c>
      <c r="L26" s="98">
        <v>0</v>
      </c>
      <c r="M26" s="98">
        <v>2154</v>
      </c>
      <c r="N26" s="98">
        <v>34970.620000000003</v>
      </c>
      <c r="O26" s="98">
        <v>59083.48</v>
      </c>
      <c r="P26" s="98">
        <v>0</v>
      </c>
      <c r="Q26" s="97" t="s">
        <v>397</v>
      </c>
    </row>
    <row r="27" spans="1:17" ht="15" x14ac:dyDescent="0.25">
      <c r="A27" s="97" t="s">
        <v>285</v>
      </c>
      <c r="B27" s="97" t="s">
        <v>308</v>
      </c>
      <c r="C27" s="97" t="s">
        <v>287</v>
      </c>
      <c r="D27" s="97" t="s">
        <v>356</v>
      </c>
      <c r="E27" s="98">
        <v>0</v>
      </c>
      <c r="F27" s="98">
        <v>7856.64</v>
      </c>
      <c r="G27" s="98">
        <v>11173.01</v>
      </c>
      <c r="H27" s="98">
        <v>12869.06</v>
      </c>
      <c r="I27" s="98">
        <v>8276.19</v>
      </c>
      <c r="J27" s="98">
        <v>14172.86</v>
      </c>
      <c r="K27" s="98">
        <v>10367.64</v>
      </c>
      <c r="L27" s="98">
        <v>9128.43</v>
      </c>
      <c r="M27" s="98">
        <v>12840.81</v>
      </c>
      <c r="N27" s="98">
        <v>9799.7199999999993</v>
      </c>
      <c r="O27" s="98">
        <v>8050</v>
      </c>
      <c r="P27" s="98">
        <v>-4188.46</v>
      </c>
      <c r="Q27" s="97" t="s">
        <v>397</v>
      </c>
    </row>
    <row r="28" spans="1:17" ht="15" x14ac:dyDescent="0.25">
      <c r="A28" s="97" t="s">
        <v>285</v>
      </c>
      <c r="B28" s="97" t="s">
        <v>309</v>
      </c>
      <c r="C28" s="97" t="s">
        <v>287</v>
      </c>
      <c r="D28" s="97" t="s">
        <v>353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8">
        <v>0</v>
      </c>
      <c r="K28" s="98">
        <v>41074.559999999998</v>
      </c>
      <c r="L28" s="98">
        <v>17153.87</v>
      </c>
      <c r="M28" s="98">
        <v>22753.83</v>
      </c>
      <c r="N28" s="98">
        <v>57252.6</v>
      </c>
      <c r="O28" s="98">
        <v>57353.57</v>
      </c>
      <c r="P28" s="98">
        <v>-179506.83</v>
      </c>
      <c r="Q28" s="97" t="s">
        <v>397</v>
      </c>
    </row>
    <row r="29" spans="1:17" ht="30" x14ac:dyDescent="0.25">
      <c r="A29" s="97" t="s">
        <v>285</v>
      </c>
      <c r="B29" s="97" t="s">
        <v>310</v>
      </c>
      <c r="C29" s="97" t="s">
        <v>287</v>
      </c>
      <c r="D29" s="97" t="s">
        <v>346</v>
      </c>
      <c r="E29" s="98">
        <v>500</v>
      </c>
      <c r="F29" s="98">
        <v>500</v>
      </c>
      <c r="G29" s="98">
        <v>12204.88</v>
      </c>
      <c r="H29" s="98">
        <v>38795.94</v>
      </c>
      <c r="I29" s="98">
        <v>20168.810000000001</v>
      </c>
      <c r="J29" s="98">
        <v>17827.93</v>
      </c>
      <c r="K29" s="98">
        <v>279747.98</v>
      </c>
      <c r="L29" s="98">
        <v>66330.38</v>
      </c>
      <c r="M29" s="98">
        <v>131468.31</v>
      </c>
      <c r="N29" s="98">
        <v>197880.7</v>
      </c>
      <c r="O29" s="98">
        <v>769935.29</v>
      </c>
      <c r="P29" s="98">
        <v>-2365200.92</v>
      </c>
      <c r="Q29" s="97" t="s">
        <v>397</v>
      </c>
    </row>
    <row r="30" spans="1:17" ht="30" x14ac:dyDescent="0.25">
      <c r="A30" s="97" t="s">
        <v>285</v>
      </c>
      <c r="B30" s="97" t="s">
        <v>311</v>
      </c>
      <c r="C30" s="97" t="s">
        <v>287</v>
      </c>
      <c r="D30" s="97" t="s">
        <v>328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97" t="s">
        <v>397</v>
      </c>
    </row>
    <row r="31" spans="1:17" ht="15" x14ac:dyDescent="0.25">
      <c r="A31" s="97" t="s">
        <v>285</v>
      </c>
      <c r="B31" s="97" t="s">
        <v>312</v>
      </c>
      <c r="C31" s="97" t="s">
        <v>287</v>
      </c>
      <c r="D31" s="97" t="s">
        <v>340</v>
      </c>
      <c r="E31" s="98">
        <v>459592.22</v>
      </c>
      <c r="F31" s="98">
        <v>5278893.53</v>
      </c>
      <c r="G31" s="98">
        <v>6122112.2199999997</v>
      </c>
      <c r="H31" s="98">
        <v>5758268.5700000003</v>
      </c>
      <c r="I31" s="98">
        <v>4369966.97</v>
      </c>
      <c r="J31" s="98">
        <v>6099831.46</v>
      </c>
      <c r="K31" s="98">
        <v>5893751.6100000003</v>
      </c>
      <c r="L31" s="98">
        <v>5438643.3300000001</v>
      </c>
      <c r="M31" s="98">
        <v>5841251.9199999999</v>
      </c>
      <c r="N31" s="98">
        <v>2105149.16</v>
      </c>
      <c r="O31" s="98">
        <v>1325643.67</v>
      </c>
      <c r="P31" s="98">
        <v>205311.76</v>
      </c>
      <c r="Q31" s="97" t="s">
        <v>397</v>
      </c>
    </row>
    <row r="32" spans="1:17" ht="15" x14ac:dyDescent="0.25">
      <c r="A32" s="97" t="s">
        <v>24</v>
      </c>
      <c r="B32" s="97" t="s">
        <v>313</v>
      </c>
      <c r="C32" s="97" t="s">
        <v>314</v>
      </c>
      <c r="D32" s="97" t="s">
        <v>359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6556.39</v>
      </c>
      <c r="M32" s="98">
        <v>0</v>
      </c>
      <c r="N32" s="98">
        <v>0</v>
      </c>
      <c r="O32" s="98">
        <v>26450.14</v>
      </c>
      <c r="P32" s="98">
        <v>-4295484.95</v>
      </c>
      <c r="Q32" s="97" t="s">
        <v>397</v>
      </c>
    </row>
    <row r="33" spans="1:17" ht="15" x14ac:dyDescent="0.25">
      <c r="A33" s="97" t="s">
        <v>24</v>
      </c>
      <c r="B33" s="97" t="s">
        <v>315</v>
      </c>
      <c r="C33" s="97" t="s">
        <v>314</v>
      </c>
      <c r="D33" s="97" t="s">
        <v>329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  <c r="M33" s="98">
        <v>0</v>
      </c>
      <c r="N33" s="98">
        <v>0</v>
      </c>
      <c r="O33" s="98">
        <v>0</v>
      </c>
      <c r="P33" s="98">
        <v>-869380</v>
      </c>
      <c r="Q33" s="97" t="s">
        <v>397</v>
      </c>
    </row>
    <row r="34" spans="1:17" ht="30" x14ac:dyDescent="0.25">
      <c r="A34" s="97" t="s">
        <v>24</v>
      </c>
      <c r="B34" s="97" t="s">
        <v>316</v>
      </c>
      <c r="C34" s="97" t="s">
        <v>314</v>
      </c>
      <c r="D34" s="97" t="s">
        <v>330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98">
        <v>0</v>
      </c>
      <c r="O34" s="98">
        <v>0</v>
      </c>
      <c r="P34" s="98">
        <v>1490556</v>
      </c>
      <c r="Q34" s="97" t="s">
        <v>397</v>
      </c>
    </row>
    <row r="35" spans="1:17" ht="30" x14ac:dyDescent="0.25">
      <c r="A35" s="97" t="s">
        <v>24</v>
      </c>
      <c r="B35" s="97" t="s">
        <v>317</v>
      </c>
      <c r="C35" s="97" t="s">
        <v>314</v>
      </c>
      <c r="D35" s="97" t="s">
        <v>331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98">
        <v>0</v>
      </c>
      <c r="O35" s="98">
        <v>0</v>
      </c>
      <c r="P35" s="98">
        <v>0</v>
      </c>
      <c r="Q35" s="97" t="s">
        <v>397</v>
      </c>
    </row>
    <row r="36" spans="1:17" ht="15" x14ac:dyDescent="0.25">
      <c r="A36" s="97" t="s">
        <v>24</v>
      </c>
      <c r="B36" s="97" t="s">
        <v>318</v>
      </c>
      <c r="C36" s="97" t="s">
        <v>314</v>
      </c>
      <c r="D36" s="97" t="s">
        <v>360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44709.94</v>
      </c>
      <c r="K36" s="98">
        <v>230651.25</v>
      </c>
      <c r="L36" s="98">
        <v>402427.74</v>
      </c>
      <c r="M36" s="98">
        <v>130213.75999999999</v>
      </c>
      <c r="N36" s="98">
        <v>74862.92</v>
      </c>
      <c r="O36" s="98">
        <v>699912.62</v>
      </c>
      <c r="P36" s="98">
        <v>-7915516.6500000004</v>
      </c>
      <c r="Q36" s="97" t="s">
        <v>397</v>
      </c>
    </row>
    <row r="37" spans="1:17" ht="30" x14ac:dyDescent="0.25">
      <c r="A37" s="97" t="s">
        <v>29</v>
      </c>
      <c r="B37" s="97" t="s">
        <v>319</v>
      </c>
      <c r="C37" s="97" t="s">
        <v>320</v>
      </c>
      <c r="D37" s="97" t="s">
        <v>332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25000000</v>
      </c>
      <c r="Q37" s="97" t="s">
        <v>397</v>
      </c>
    </row>
    <row r="38" spans="1:17" ht="15" x14ac:dyDescent="0.25">
      <c r="A38" s="97" t="s">
        <v>29</v>
      </c>
      <c r="B38" s="97" t="s">
        <v>321</v>
      </c>
      <c r="C38" s="97" t="s">
        <v>320</v>
      </c>
      <c r="D38" s="97" t="s">
        <v>333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98">
        <v>0</v>
      </c>
      <c r="O38" s="98">
        <v>0</v>
      </c>
      <c r="P38" s="98">
        <v>0</v>
      </c>
      <c r="Q38" s="97" t="s">
        <v>397</v>
      </c>
    </row>
    <row r="40" spans="1:17" x14ac:dyDescent="0.2">
      <c r="N40">
        <f>SUM(N2:N39)</f>
        <v>121750043.42999998</v>
      </c>
      <c r="P40" s="33">
        <f>SUM(P2:P39)</f>
        <v>132294588.94999999</v>
      </c>
    </row>
    <row r="42" spans="1:17" x14ac:dyDescent="0.2">
      <c r="P42" s="33">
        <v>148185708.74000001</v>
      </c>
    </row>
    <row r="44" spans="1:17" x14ac:dyDescent="0.2">
      <c r="P44" s="134">
        <f>+P40-P42</f>
        <v>-15891119.790000021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R29"/>
  <sheetViews>
    <sheetView topLeftCell="D1" workbookViewId="0">
      <selection activeCell="F11" sqref="F11"/>
    </sheetView>
  </sheetViews>
  <sheetFormatPr defaultRowHeight="12.75" x14ac:dyDescent="0.2"/>
  <cols>
    <col min="1" max="1" width="10.7109375" customWidth="1"/>
    <col min="2" max="2" width="14.7109375" customWidth="1"/>
    <col min="3" max="3" width="22.85546875" bestFit="1" customWidth="1"/>
    <col min="4" max="4" width="19.140625" customWidth="1"/>
    <col min="5" max="16" width="12" customWidth="1"/>
    <col min="17" max="17" width="12" bestFit="1" customWidth="1"/>
    <col min="18" max="18" width="18.140625" bestFit="1" customWidth="1"/>
  </cols>
  <sheetData>
    <row r="1" spans="1:18" x14ac:dyDescent="0.2">
      <c r="A1" t="s">
        <v>129</v>
      </c>
      <c r="B1" t="s">
        <v>171</v>
      </c>
      <c r="C1" t="s">
        <v>130</v>
      </c>
      <c r="D1" t="s">
        <v>131</v>
      </c>
      <c r="E1" t="s">
        <v>132</v>
      </c>
      <c r="F1" t="s">
        <v>133</v>
      </c>
      <c r="G1" t="s">
        <v>134</v>
      </c>
      <c r="H1" t="s">
        <v>135</v>
      </c>
      <c r="I1" t="s">
        <v>136</v>
      </c>
      <c r="J1" t="s">
        <v>137</v>
      </c>
      <c r="K1" t="s">
        <v>138</v>
      </c>
      <c r="L1" t="s">
        <v>139</v>
      </c>
      <c r="M1" t="s">
        <v>140</v>
      </c>
      <c r="N1" t="s">
        <v>141</v>
      </c>
      <c r="O1" t="s">
        <v>142</v>
      </c>
      <c r="P1" t="s">
        <v>143</v>
      </c>
      <c r="Q1" t="s">
        <v>172</v>
      </c>
      <c r="R1" t="s">
        <v>95</v>
      </c>
    </row>
    <row r="2" spans="1:18" x14ac:dyDescent="0.2">
      <c r="A2" t="s">
        <v>173</v>
      </c>
      <c r="B2" t="s">
        <v>174</v>
      </c>
      <c r="C2" t="s">
        <v>175</v>
      </c>
      <c r="D2" t="s">
        <v>176</v>
      </c>
      <c r="E2">
        <v>145139465.72999999</v>
      </c>
      <c r="F2">
        <v>99952404.400000006</v>
      </c>
      <c r="G2">
        <v>98546270.730000004</v>
      </c>
      <c r="H2">
        <v>98944252.140000001</v>
      </c>
      <c r="I2">
        <v>99065316.879999995</v>
      </c>
      <c r="J2">
        <v>103997151.27</v>
      </c>
      <c r="K2">
        <v>100268525.45999999</v>
      </c>
      <c r="L2">
        <v>100869350.33</v>
      </c>
      <c r="M2">
        <v>100435465.47</v>
      </c>
      <c r="N2">
        <v>101457609.44</v>
      </c>
      <c r="O2">
        <v>171754945.11000001</v>
      </c>
      <c r="P2">
        <v>111977881.12</v>
      </c>
      <c r="Q2">
        <v>1332408638.0799999</v>
      </c>
      <c r="R2" t="s">
        <v>395</v>
      </c>
    </row>
    <row r="3" spans="1:18" x14ac:dyDescent="0.2">
      <c r="A3" t="s">
        <v>177</v>
      </c>
      <c r="B3" t="s">
        <v>178</v>
      </c>
      <c r="C3" t="s">
        <v>175</v>
      </c>
      <c r="D3" t="s">
        <v>75</v>
      </c>
      <c r="E3">
        <v>11457503.550000001</v>
      </c>
      <c r="F3">
        <v>23615374.579999998</v>
      </c>
      <c r="G3">
        <v>23607725.390000001</v>
      </c>
      <c r="H3">
        <v>24579474.190000001</v>
      </c>
      <c r="I3">
        <v>23943473.809999999</v>
      </c>
      <c r="J3">
        <v>24204721.359999999</v>
      </c>
      <c r="K3">
        <v>23990267.890000001</v>
      </c>
      <c r="L3">
        <v>24023591.440000001</v>
      </c>
      <c r="M3">
        <v>23814700.280000001</v>
      </c>
      <c r="N3">
        <v>19868030.32</v>
      </c>
      <c r="O3">
        <v>22349347.32</v>
      </c>
      <c r="P3">
        <v>50515837.380000003</v>
      </c>
      <c r="Q3">
        <v>295970047.50999999</v>
      </c>
      <c r="R3" t="s">
        <v>395</v>
      </c>
    </row>
    <row r="4" spans="1:18" x14ac:dyDescent="0.2">
      <c r="A4" t="s">
        <v>179</v>
      </c>
      <c r="B4" t="s">
        <v>383</v>
      </c>
      <c r="C4" t="s">
        <v>175</v>
      </c>
      <c r="D4" t="s">
        <v>180</v>
      </c>
      <c r="E4">
        <v>0</v>
      </c>
      <c r="F4">
        <v>0</v>
      </c>
      <c r="G4">
        <v>0</v>
      </c>
      <c r="H4">
        <v>0</v>
      </c>
      <c r="I4">
        <v>0</v>
      </c>
      <c r="J4">
        <v>946395.41</v>
      </c>
      <c r="K4">
        <v>13680</v>
      </c>
      <c r="L4">
        <v>462362.5</v>
      </c>
      <c r="M4">
        <v>440826.45</v>
      </c>
      <c r="N4">
        <v>118154.75</v>
      </c>
      <c r="O4">
        <v>5090865.7300000004</v>
      </c>
      <c r="P4">
        <v>1600000</v>
      </c>
      <c r="Q4">
        <v>8672284.8399999999</v>
      </c>
      <c r="R4" t="s">
        <v>395</v>
      </c>
    </row>
    <row r="5" spans="1:18" x14ac:dyDescent="0.2">
      <c r="A5" t="s">
        <v>181</v>
      </c>
      <c r="B5" t="s">
        <v>396</v>
      </c>
      <c r="C5" t="s">
        <v>175</v>
      </c>
      <c r="D5" t="s">
        <v>268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25000000</v>
      </c>
      <c r="Q5">
        <v>25000000</v>
      </c>
      <c r="R5" t="s">
        <v>395</v>
      </c>
    </row>
    <row r="7" spans="1:18" x14ac:dyDescent="0.2">
      <c r="E7">
        <f>SUM(E2:E6)</f>
        <v>156596969.28</v>
      </c>
      <c r="F7">
        <f t="shared" ref="F7:P7" si="0">SUM(F2:F6)</f>
        <v>123567778.98</v>
      </c>
      <c r="G7">
        <f t="shared" si="0"/>
        <v>122153996.12</v>
      </c>
      <c r="H7">
        <f t="shared" si="0"/>
        <v>123523726.33</v>
      </c>
      <c r="I7">
        <f t="shared" si="0"/>
        <v>123008790.69</v>
      </c>
      <c r="J7">
        <f t="shared" si="0"/>
        <v>129148268.03999999</v>
      </c>
      <c r="K7">
        <f t="shared" si="0"/>
        <v>124272473.34999999</v>
      </c>
      <c r="L7">
        <f t="shared" si="0"/>
        <v>125355304.27</v>
      </c>
      <c r="M7">
        <f t="shared" si="0"/>
        <v>124690992.2</v>
      </c>
      <c r="N7">
        <f t="shared" si="0"/>
        <v>121443794.50999999</v>
      </c>
      <c r="O7">
        <f t="shared" si="0"/>
        <v>199195158.16</v>
      </c>
      <c r="P7">
        <f t="shared" si="0"/>
        <v>189093718.5</v>
      </c>
      <c r="Q7">
        <f>SUM(E7:P7)</f>
        <v>1662050970.4300001</v>
      </c>
    </row>
    <row r="15" spans="1:18" x14ac:dyDescent="0.2">
      <c r="C15" s="130" t="s">
        <v>175</v>
      </c>
      <c r="D15" s="130" t="s">
        <v>176</v>
      </c>
      <c r="E15" s="131">
        <v>97853034.299999997</v>
      </c>
      <c r="F15" s="131">
        <v>60665593.950000003</v>
      </c>
      <c r="G15" s="131">
        <v>55863777.909999996</v>
      </c>
      <c r="H15" s="131">
        <v>63902133.380000003</v>
      </c>
      <c r="I15" s="131">
        <v>56955393.899999999</v>
      </c>
      <c r="J15" s="131">
        <v>59030849.469999999</v>
      </c>
      <c r="K15" s="131">
        <v>58074369.340000004</v>
      </c>
      <c r="L15" s="131">
        <v>60198928.57</v>
      </c>
      <c r="M15" s="33" t="s">
        <v>368</v>
      </c>
    </row>
    <row r="16" spans="1:18" x14ac:dyDescent="0.2">
      <c r="E16" s="33"/>
      <c r="F16" s="33"/>
      <c r="G16" s="33"/>
      <c r="H16" s="33"/>
      <c r="I16" s="33"/>
      <c r="J16" s="33"/>
      <c r="K16" s="33"/>
      <c r="L16" s="33"/>
      <c r="M16" s="33"/>
    </row>
    <row r="17" spans="5:13" x14ac:dyDescent="0.2">
      <c r="E17" s="33"/>
      <c r="F17" s="33"/>
      <c r="G17" s="33"/>
      <c r="H17" s="33"/>
      <c r="I17" s="33"/>
      <c r="J17" s="33"/>
      <c r="K17" s="33"/>
      <c r="L17" s="33"/>
      <c r="M17" s="33"/>
    </row>
    <row r="18" spans="5:13" x14ac:dyDescent="0.2">
      <c r="E18" s="33">
        <f>+E2-E15</f>
        <v>47286431.429999992</v>
      </c>
      <c r="F18" s="33">
        <f t="shared" ref="F18:L18" si="1">+F2-F15</f>
        <v>39286810.450000003</v>
      </c>
      <c r="G18" s="33">
        <f t="shared" si="1"/>
        <v>42682492.820000008</v>
      </c>
      <c r="H18" s="33">
        <f t="shared" si="1"/>
        <v>35042118.759999998</v>
      </c>
      <c r="I18" s="33">
        <f t="shared" si="1"/>
        <v>42109922.979999997</v>
      </c>
      <c r="J18" s="33">
        <f t="shared" si="1"/>
        <v>44966301.799999997</v>
      </c>
      <c r="K18" s="33">
        <f t="shared" si="1"/>
        <v>42194156.11999999</v>
      </c>
      <c r="L18" s="33">
        <f t="shared" si="1"/>
        <v>40670421.759999998</v>
      </c>
      <c r="M18" s="33"/>
    </row>
    <row r="20" spans="5:13" x14ac:dyDescent="0.2">
      <c r="E20" s="8">
        <v>12545234.640000001</v>
      </c>
    </row>
    <row r="21" spans="5:13" x14ac:dyDescent="0.2">
      <c r="E21" s="8">
        <v>18737858.789999999</v>
      </c>
    </row>
    <row r="22" spans="5:13" x14ac:dyDescent="0.2">
      <c r="E22" s="8">
        <v>2402004.29</v>
      </c>
    </row>
    <row r="24" spans="5:13" x14ac:dyDescent="0.2">
      <c r="E24" s="8">
        <f>+E22+E21+E20</f>
        <v>33685097.719999999</v>
      </c>
    </row>
    <row r="27" spans="5:13" x14ac:dyDescent="0.2">
      <c r="E27" s="146">
        <v>156596969.28</v>
      </c>
      <c r="F27" s="146">
        <v>123568800.20999999</v>
      </c>
      <c r="G27" s="146">
        <v>122153996.12</v>
      </c>
    </row>
    <row r="29" spans="5:13" x14ac:dyDescent="0.2">
      <c r="E29" s="119">
        <f>+E7-E27</f>
        <v>0</v>
      </c>
      <c r="F29" s="119">
        <f>+F7-F27</f>
        <v>-1021.2299999892712</v>
      </c>
      <c r="G29" s="119">
        <f>+G7-G27</f>
        <v>0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AC20"/>
  <sheetViews>
    <sheetView workbookViewId="0">
      <selection activeCell="F11" sqref="F11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184</v>
      </c>
      <c r="B1" s="1" t="s">
        <v>185</v>
      </c>
      <c r="C1" s="1" t="s">
        <v>186</v>
      </c>
      <c r="D1" s="1" t="s">
        <v>77</v>
      </c>
      <c r="E1" s="1" t="s">
        <v>187</v>
      </c>
      <c r="F1" s="1" t="s">
        <v>78</v>
      </c>
      <c r="G1" s="1" t="s">
        <v>188</v>
      </c>
      <c r="H1" s="1" t="s">
        <v>79</v>
      </c>
      <c r="I1" s="1" t="s">
        <v>80</v>
      </c>
      <c r="J1" s="1" t="s">
        <v>189</v>
      </c>
      <c r="K1" s="1" t="s">
        <v>190</v>
      </c>
      <c r="L1" s="1" t="s">
        <v>191</v>
      </c>
      <c r="M1" s="1" t="s">
        <v>81</v>
      </c>
      <c r="N1" s="1" t="s">
        <v>192</v>
      </c>
      <c r="O1" s="1" t="s">
        <v>193</v>
      </c>
      <c r="P1" s="1" t="s">
        <v>194</v>
      </c>
      <c r="Q1" s="1" t="s">
        <v>195</v>
      </c>
      <c r="R1" s="1" t="s">
        <v>82</v>
      </c>
      <c r="S1" s="1" t="s">
        <v>196</v>
      </c>
      <c r="T1" s="1" t="s">
        <v>197</v>
      </c>
      <c r="U1" s="1" t="s">
        <v>198</v>
      </c>
      <c r="V1" s="1" t="s">
        <v>199</v>
      </c>
      <c r="W1" s="1" t="s">
        <v>83</v>
      </c>
      <c r="X1" s="1" t="s">
        <v>200</v>
      </c>
      <c r="Y1" s="1" t="s">
        <v>201</v>
      </c>
      <c r="Z1" s="1" t="s">
        <v>202</v>
      </c>
      <c r="AA1" s="1" t="s">
        <v>84</v>
      </c>
      <c r="AB1" s="1" t="s">
        <v>203</v>
      </c>
      <c r="AC1" s="1" t="s">
        <v>95</v>
      </c>
    </row>
    <row r="2" spans="1:29" x14ac:dyDescent="0.2">
      <c r="A2" t="s">
        <v>204</v>
      </c>
      <c r="B2" t="s">
        <v>205</v>
      </c>
      <c r="C2" t="s">
        <v>206</v>
      </c>
      <c r="D2" t="s">
        <v>207</v>
      </c>
      <c r="E2" t="s">
        <v>0</v>
      </c>
      <c r="F2" t="s">
        <v>208</v>
      </c>
      <c r="G2">
        <v>0</v>
      </c>
      <c r="H2">
        <v>0</v>
      </c>
      <c r="I2">
        <v>0</v>
      </c>
      <c r="J2">
        <v>0</v>
      </c>
      <c r="K2">
        <v>0</v>
      </c>
      <c r="L2">
        <v>599038093.91999996</v>
      </c>
      <c r="M2">
        <v>0</v>
      </c>
      <c r="N2">
        <v>599038093.91999996</v>
      </c>
      <c r="O2">
        <v>1822727.9</v>
      </c>
      <c r="P2">
        <v>596283756.46000004</v>
      </c>
      <c r="Q2">
        <v>913242.71</v>
      </c>
      <c r="R2">
        <v>599019727.07000005</v>
      </c>
      <c r="S2">
        <v>1</v>
      </c>
      <c r="T2">
        <v>0</v>
      </c>
      <c r="U2">
        <v>596283756.46000004</v>
      </c>
      <c r="V2">
        <v>913242.71</v>
      </c>
      <c r="W2">
        <v>597196999.16999996</v>
      </c>
      <c r="X2">
        <v>0.99690000000000001</v>
      </c>
      <c r="Y2">
        <v>0</v>
      </c>
      <c r="Z2">
        <v>596283756.46000004</v>
      </c>
      <c r="AA2">
        <v>596283756.46000004</v>
      </c>
      <c r="AB2">
        <v>0.99539999999999995</v>
      </c>
      <c r="AC2" t="s">
        <v>126</v>
      </c>
    </row>
    <row r="3" spans="1:29" x14ac:dyDescent="0.2">
      <c r="A3" t="s">
        <v>204</v>
      </c>
      <c r="B3" t="s">
        <v>209</v>
      </c>
      <c r="C3" t="s">
        <v>206</v>
      </c>
      <c r="D3" t="s">
        <v>207</v>
      </c>
      <c r="E3" t="s">
        <v>24</v>
      </c>
      <c r="F3" t="s">
        <v>208</v>
      </c>
      <c r="G3">
        <v>0</v>
      </c>
      <c r="H3">
        <v>0</v>
      </c>
      <c r="I3">
        <v>0</v>
      </c>
      <c r="J3">
        <v>0</v>
      </c>
      <c r="K3">
        <v>0</v>
      </c>
      <c r="L3">
        <v>79384135</v>
      </c>
      <c r="M3">
        <v>0</v>
      </c>
      <c r="N3">
        <v>79384135</v>
      </c>
      <c r="O3">
        <v>78329041.709999993</v>
      </c>
      <c r="P3">
        <v>1045547.03</v>
      </c>
      <c r="Q3">
        <v>0</v>
      </c>
      <c r="R3">
        <v>79374588.739999995</v>
      </c>
      <c r="S3">
        <v>0.99990000000000001</v>
      </c>
      <c r="T3">
        <v>67606202.299999997</v>
      </c>
      <c r="U3">
        <v>1045547.03</v>
      </c>
      <c r="V3">
        <v>0</v>
      </c>
      <c r="W3">
        <v>68651749.329999998</v>
      </c>
      <c r="X3">
        <v>0.86480000000000001</v>
      </c>
      <c r="Y3">
        <v>67402246.549999997</v>
      </c>
      <c r="Z3">
        <v>1045547.03</v>
      </c>
      <c r="AA3">
        <v>68447793.579999998</v>
      </c>
      <c r="AB3">
        <v>0.86219999999999997</v>
      </c>
      <c r="AC3" t="s">
        <v>126</v>
      </c>
    </row>
    <row r="4" spans="1:29" x14ac:dyDescent="0.2">
      <c r="A4" t="s">
        <v>204</v>
      </c>
      <c r="B4" t="s">
        <v>209</v>
      </c>
      <c r="C4" t="s">
        <v>206</v>
      </c>
      <c r="D4" t="s">
        <v>207</v>
      </c>
      <c r="E4" t="s">
        <v>24</v>
      </c>
      <c r="F4" t="s">
        <v>210</v>
      </c>
      <c r="G4">
        <v>0</v>
      </c>
      <c r="H4">
        <v>0</v>
      </c>
      <c r="I4">
        <v>0</v>
      </c>
      <c r="J4">
        <v>0</v>
      </c>
      <c r="K4">
        <v>0</v>
      </c>
      <c r="L4">
        <v>16195616</v>
      </c>
      <c r="M4">
        <v>0</v>
      </c>
      <c r="N4">
        <v>16195616</v>
      </c>
      <c r="O4">
        <v>16195616</v>
      </c>
      <c r="P4">
        <v>0</v>
      </c>
      <c r="Q4">
        <v>0</v>
      </c>
      <c r="R4">
        <v>16195616</v>
      </c>
      <c r="S4">
        <v>1</v>
      </c>
      <c r="T4">
        <v>14162693.08</v>
      </c>
      <c r="U4">
        <v>0</v>
      </c>
      <c r="V4">
        <v>0</v>
      </c>
      <c r="W4">
        <v>14162693.08</v>
      </c>
      <c r="X4">
        <v>0.87450000000000006</v>
      </c>
      <c r="Y4">
        <v>14162693.08</v>
      </c>
      <c r="Z4">
        <v>0</v>
      </c>
      <c r="AA4">
        <v>14162693.08</v>
      </c>
      <c r="AB4">
        <v>0.87450000000000006</v>
      </c>
      <c r="AC4" t="s">
        <v>126</v>
      </c>
    </row>
    <row r="5" spans="1:29" x14ac:dyDescent="0.2">
      <c r="A5" t="s">
        <v>204</v>
      </c>
      <c r="B5" t="s">
        <v>209</v>
      </c>
      <c r="C5" t="s">
        <v>206</v>
      </c>
      <c r="D5" t="s">
        <v>207</v>
      </c>
      <c r="E5" t="s">
        <v>29</v>
      </c>
      <c r="F5" t="s">
        <v>208</v>
      </c>
      <c r="G5">
        <v>0</v>
      </c>
      <c r="H5">
        <v>0</v>
      </c>
      <c r="I5">
        <v>0</v>
      </c>
      <c r="J5">
        <v>0</v>
      </c>
      <c r="K5">
        <v>0</v>
      </c>
      <c r="L5">
        <v>3974721</v>
      </c>
      <c r="M5">
        <v>0</v>
      </c>
      <c r="N5">
        <v>3974721</v>
      </c>
      <c r="O5">
        <v>3952962.35</v>
      </c>
      <c r="P5">
        <v>0</v>
      </c>
      <c r="Q5">
        <v>0</v>
      </c>
      <c r="R5">
        <v>3952962.35</v>
      </c>
      <c r="S5">
        <v>0.99450000000000005</v>
      </c>
      <c r="T5">
        <v>1503062</v>
      </c>
      <c r="U5">
        <v>0</v>
      </c>
      <c r="V5">
        <v>0</v>
      </c>
      <c r="W5">
        <v>1503062</v>
      </c>
      <c r="X5">
        <v>0.37819999999999998</v>
      </c>
      <c r="Y5">
        <v>1500569.02</v>
      </c>
      <c r="Z5">
        <v>0</v>
      </c>
      <c r="AA5">
        <v>1500569.02</v>
      </c>
      <c r="AB5">
        <v>0.3775</v>
      </c>
      <c r="AC5" t="s">
        <v>126</v>
      </c>
    </row>
    <row r="6" spans="1:29" x14ac:dyDescent="0.2">
      <c r="A6" t="s">
        <v>211</v>
      </c>
      <c r="B6" t="s">
        <v>212</v>
      </c>
      <c r="C6" t="s">
        <v>206</v>
      </c>
      <c r="D6" t="s">
        <v>207</v>
      </c>
      <c r="E6" t="s">
        <v>24</v>
      </c>
      <c r="F6" t="s">
        <v>208</v>
      </c>
      <c r="G6">
        <v>0</v>
      </c>
      <c r="H6">
        <v>0</v>
      </c>
      <c r="I6">
        <v>0</v>
      </c>
      <c r="J6">
        <v>0</v>
      </c>
      <c r="K6">
        <v>0</v>
      </c>
      <c r="L6">
        <v>21797251</v>
      </c>
      <c r="M6">
        <v>0</v>
      </c>
      <c r="N6">
        <v>21797251</v>
      </c>
      <c r="O6">
        <v>21797250.899999999</v>
      </c>
      <c r="P6">
        <v>0</v>
      </c>
      <c r="Q6">
        <v>0</v>
      </c>
      <c r="R6">
        <v>21797250.899999999</v>
      </c>
      <c r="S6">
        <v>1</v>
      </c>
      <c r="T6">
        <v>21088190.850000001</v>
      </c>
      <c r="U6">
        <v>0</v>
      </c>
      <c r="V6">
        <v>0</v>
      </c>
      <c r="W6">
        <v>21088190.850000001</v>
      </c>
      <c r="X6">
        <v>0.96750000000000003</v>
      </c>
      <c r="Y6">
        <v>21034625.77</v>
      </c>
      <c r="Z6">
        <v>0</v>
      </c>
      <c r="AA6">
        <v>21034625.77</v>
      </c>
      <c r="AB6">
        <v>0.96499999999999997</v>
      </c>
      <c r="AC6" t="s">
        <v>126</v>
      </c>
    </row>
    <row r="7" spans="1:29" x14ac:dyDescent="0.2">
      <c r="A7" t="s">
        <v>213</v>
      </c>
      <c r="B7" t="s">
        <v>214</v>
      </c>
      <c r="C7" t="s">
        <v>215</v>
      </c>
      <c r="D7" t="s">
        <v>207</v>
      </c>
      <c r="E7" t="s">
        <v>24</v>
      </c>
      <c r="F7" t="s">
        <v>208</v>
      </c>
      <c r="G7">
        <v>0</v>
      </c>
      <c r="H7">
        <v>0</v>
      </c>
      <c r="I7">
        <v>0</v>
      </c>
      <c r="J7">
        <v>0</v>
      </c>
      <c r="K7">
        <v>0</v>
      </c>
      <c r="L7">
        <v>2023520</v>
      </c>
      <c r="M7">
        <v>0</v>
      </c>
      <c r="N7">
        <v>2023520</v>
      </c>
      <c r="O7">
        <v>1621901.29</v>
      </c>
      <c r="P7">
        <v>354084.99</v>
      </c>
      <c r="Q7">
        <v>0</v>
      </c>
      <c r="R7">
        <v>1975986.28</v>
      </c>
      <c r="S7">
        <v>0.97650000000000003</v>
      </c>
      <c r="T7">
        <v>989949.11</v>
      </c>
      <c r="U7">
        <v>354084.99</v>
      </c>
      <c r="V7">
        <v>0</v>
      </c>
      <c r="W7">
        <v>1344034.1</v>
      </c>
      <c r="X7">
        <v>0.66420000000000001</v>
      </c>
      <c r="Y7">
        <v>989949.11</v>
      </c>
      <c r="Z7">
        <v>354084.99</v>
      </c>
      <c r="AA7">
        <v>1344034.1</v>
      </c>
      <c r="AB7">
        <v>0.66420000000000001</v>
      </c>
      <c r="AC7" t="s">
        <v>126</v>
      </c>
    </row>
    <row r="8" spans="1:29" x14ac:dyDescent="0.2">
      <c r="A8" t="s">
        <v>260</v>
      </c>
      <c r="B8" t="s">
        <v>261</v>
      </c>
      <c r="C8" t="s">
        <v>231</v>
      </c>
      <c r="D8" t="s">
        <v>207</v>
      </c>
      <c r="E8" t="s">
        <v>29</v>
      </c>
      <c r="F8" t="s">
        <v>208</v>
      </c>
      <c r="G8">
        <v>0</v>
      </c>
      <c r="H8">
        <v>0</v>
      </c>
      <c r="I8">
        <v>0</v>
      </c>
      <c r="J8">
        <v>0</v>
      </c>
      <c r="K8">
        <v>0</v>
      </c>
      <c r="L8">
        <v>6840947</v>
      </c>
      <c r="M8">
        <v>0</v>
      </c>
      <c r="N8">
        <v>6840947</v>
      </c>
      <c r="O8">
        <v>6834430.2199999997</v>
      </c>
      <c r="P8">
        <v>0</v>
      </c>
      <c r="Q8">
        <v>0</v>
      </c>
      <c r="R8">
        <v>6834430.2199999997</v>
      </c>
      <c r="S8">
        <v>0.999</v>
      </c>
      <c r="T8">
        <v>1591342.68</v>
      </c>
      <c r="U8">
        <v>0</v>
      </c>
      <c r="V8">
        <v>0</v>
      </c>
      <c r="W8">
        <v>1591342.68</v>
      </c>
      <c r="X8">
        <v>0.2326</v>
      </c>
      <c r="Y8">
        <v>1590665.08</v>
      </c>
      <c r="Z8">
        <v>0</v>
      </c>
      <c r="AA8">
        <v>1590665.08</v>
      </c>
      <c r="AB8">
        <v>0.23250000000000001</v>
      </c>
      <c r="AC8" t="s">
        <v>126</v>
      </c>
    </row>
    <row r="9" spans="1:29" x14ac:dyDescent="0.2">
      <c r="A9" t="s">
        <v>260</v>
      </c>
      <c r="B9" t="s">
        <v>261</v>
      </c>
      <c r="C9" t="s">
        <v>231</v>
      </c>
      <c r="D9" t="s">
        <v>207</v>
      </c>
      <c r="E9" t="s">
        <v>24</v>
      </c>
      <c r="F9" t="s">
        <v>208</v>
      </c>
      <c r="G9">
        <v>0</v>
      </c>
      <c r="H9">
        <v>0</v>
      </c>
      <c r="I9">
        <v>0</v>
      </c>
      <c r="J9">
        <v>0</v>
      </c>
      <c r="K9">
        <v>0</v>
      </c>
      <c r="L9">
        <v>630000</v>
      </c>
      <c r="M9">
        <v>0</v>
      </c>
      <c r="N9">
        <v>630000</v>
      </c>
      <c r="O9">
        <v>629953.23</v>
      </c>
      <c r="P9">
        <v>0</v>
      </c>
      <c r="Q9">
        <v>0</v>
      </c>
      <c r="R9">
        <v>629953.23</v>
      </c>
      <c r="S9">
        <v>0.99990000000000001</v>
      </c>
      <c r="T9">
        <v>251772.59</v>
      </c>
      <c r="U9">
        <v>0</v>
      </c>
      <c r="V9">
        <v>0</v>
      </c>
      <c r="W9">
        <v>251772.59</v>
      </c>
      <c r="X9">
        <v>0.39960000000000001</v>
      </c>
      <c r="Y9">
        <v>250853.29</v>
      </c>
      <c r="Z9">
        <v>0</v>
      </c>
      <c r="AA9">
        <v>250853.29</v>
      </c>
      <c r="AB9">
        <v>0.3982</v>
      </c>
      <c r="AC9" t="s">
        <v>126</v>
      </c>
    </row>
    <row r="10" spans="1:29" x14ac:dyDescent="0.2">
      <c r="A10" t="s">
        <v>216</v>
      </c>
      <c r="B10" t="s">
        <v>217</v>
      </c>
      <c r="C10" t="s">
        <v>218</v>
      </c>
      <c r="D10" t="s">
        <v>207</v>
      </c>
      <c r="E10" t="s">
        <v>24</v>
      </c>
      <c r="F10" t="s">
        <v>208</v>
      </c>
      <c r="G10">
        <v>0</v>
      </c>
      <c r="H10">
        <v>0</v>
      </c>
      <c r="I10">
        <v>0</v>
      </c>
      <c r="J10">
        <v>0</v>
      </c>
      <c r="K10">
        <v>0</v>
      </c>
      <c r="L10">
        <v>27244633</v>
      </c>
      <c r="M10">
        <v>0</v>
      </c>
      <c r="N10">
        <v>27244633</v>
      </c>
      <c r="O10">
        <v>26975449</v>
      </c>
      <c r="P10">
        <v>0</v>
      </c>
      <c r="Q10">
        <v>0</v>
      </c>
      <c r="R10">
        <v>26975449</v>
      </c>
      <c r="S10">
        <v>0.99009999999999998</v>
      </c>
      <c r="T10">
        <v>26957699.66</v>
      </c>
      <c r="U10">
        <v>0</v>
      </c>
      <c r="V10">
        <v>0</v>
      </c>
      <c r="W10">
        <v>26957699.66</v>
      </c>
      <c r="X10">
        <v>0.98950000000000005</v>
      </c>
      <c r="Y10">
        <v>26957699.66</v>
      </c>
      <c r="Z10">
        <v>0</v>
      </c>
      <c r="AA10">
        <v>26957699.66</v>
      </c>
      <c r="AB10">
        <v>0.98950000000000005</v>
      </c>
      <c r="AC10" t="s">
        <v>126</v>
      </c>
    </row>
    <row r="11" spans="1:29" x14ac:dyDescent="0.2">
      <c r="A11" t="s">
        <v>219</v>
      </c>
      <c r="B11" t="s">
        <v>220</v>
      </c>
      <c r="C11" t="s">
        <v>221</v>
      </c>
      <c r="D11" t="s">
        <v>207</v>
      </c>
      <c r="E11" t="s">
        <v>24</v>
      </c>
      <c r="F11" t="s">
        <v>208</v>
      </c>
      <c r="G11">
        <v>0</v>
      </c>
      <c r="H11">
        <v>0</v>
      </c>
      <c r="I11">
        <v>0</v>
      </c>
      <c r="J11">
        <v>0</v>
      </c>
      <c r="K11">
        <v>0</v>
      </c>
      <c r="L11">
        <v>1095422</v>
      </c>
      <c r="M11">
        <v>0</v>
      </c>
      <c r="N11">
        <v>1095422</v>
      </c>
      <c r="O11">
        <v>1095422</v>
      </c>
      <c r="P11">
        <v>0</v>
      </c>
      <c r="Q11">
        <v>0</v>
      </c>
      <c r="R11">
        <v>1095422</v>
      </c>
      <c r="S11">
        <v>1</v>
      </c>
      <c r="T11">
        <v>1074549.9099999999</v>
      </c>
      <c r="U11">
        <v>0</v>
      </c>
      <c r="V11">
        <v>0</v>
      </c>
      <c r="W11">
        <v>1074549.9099999999</v>
      </c>
      <c r="X11">
        <v>0.98089999999999999</v>
      </c>
      <c r="Y11">
        <v>1074549.9099999999</v>
      </c>
      <c r="Z11">
        <v>0</v>
      </c>
      <c r="AA11">
        <v>1074549.9099999999</v>
      </c>
      <c r="AB11">
        <v>0.98089999999999999</v>
      </c>
      <c r="AC11" t="s">
        <v>126</v>
      </c>
    </row>
    <row r="12" spans="1:29" x14ac:dyDescent="0.2">
      <c r="A12" t="s">
        <v>222</v>
      </c>
      <c r="B12" t="s">
        <v>223</v>
      </c>
      <c r="C12" t="s">
        <v>224</v>
      </c>
      <c r="D12" t="s">
        <v>207</v>
      </c>
      <c r="E12" t="s">
        <v>24</v>
      </c>
      <c r="F12" t="s">
        <v>208</v>
      </c>
      <c r="G12">
        <v>0</v>
      </c>
      <c r="H12">
        <v>0</v>
      </c>
      <c r="I12">
        <v>0</v>
      </c>
      <c r="J12">
        <v>0</v>
      </c>
      <c r="K12">
        <v>0</v>
      </c>
      <c r="L12">
        <v>3871530</v>
      </c>
      <c r="M12">
        <v>0</v>
      </c>
      <c r="N12">
        <v>3871530</v>
      </c>
      <c r="O12">
        <v>0</v>
      </c>
      <c r="P12">
        <v>3680102.5</v>
      </c>
      <c r="Q12">
        <v>0</v>
      </c>
      <c r="R12">
        <v>3680102.5</v>
      </c>
      <c r="S12">
        <v>0.9506</v>
      </c>
      <c r="T12">
        <v>0</v>
      </c>
      <c r="U12">
        <v>3680102.5</v>
      </c>
      <c r="V12">
        <v>0</v>
      </c>
      <c r="W12">
        <v>3680102.5</v>
      </c>
      <c r="X12">
        <v>0.9506</v>
      </c>
      <c r="Y12">
        <v>0</v>
      </c>
      <c r="Z12">
        <v>3680102.5</v>
      </c>
      <c r="AA12">
        <v>3680102.5</v>
      </c>
      <c r="AB12">
        <v>0.9506</v>
      </c>
      <c r="AC12" t="s">
        <v>126</v>
      </c>
    </row>
    <row r="13" spans="1:29" x14ac:dyDescent="0.2">
      <c r="A13" t="s">
        <v>225</v>
      </c>
      <c r="B13" t="s">
        <v>226</v>
      </c>
      <c r="C13" t="s">
        <v>227</v>
      </c>
      <c r="D13" t="s">
        <v>228</v>
      </c>
      <c r="E13" t="s">
        <v>29</v>
      </c>
      <c r="F13" t="s">
        <v>208</v>
      </c>
      <c r="G13">
        <v>0</v>
      </c>
      <c r="H13">
        <v>0</v>
      </c>
      <c r="I13">
        <v>0</v>
      </c>
      <c r="J13">
        <v>0</v>
      </c>
      <c r="K13">
        <v>0</v>
      </c>
      <c r="L13">
        <v>27500</v>
      </c>
      <c r="M13">
        <v>0</v>
      </c>
      <c r="N13">
        <v>27500</v>
      </c>
      <c r="O13">
        <v>15387.94</v>
      </c>
      <c r="P13">
        <v>0</v>
      </c>
      <c r="Q13">
        <v>0</v>
      </c>
      <c r="R13">
        <v>15387.94</v>
      </c>
      <c r="S13">
        <v>0.55959999999999999</v>
      </c>
      <c r="T13">
        <v>6517.94</v>
      </c>
      <c r="U13">
        <v>0</v>
      </c>
      <c r="V13">
        <v>0</v>
      </c>
      <c r="W13">
        <v>6517.94</v>
      </c>
      <c r="X13">
        <v>0.23699999999999999</v>
      </c>
      <c r="Y13">
        <v>6517.94</v>
      </c>
      <c r="Z13">
        <v>0</v>
      </c>
      <c r="AA13">
        <v>6517.94</v>
      </c>
      <c r="AB13">
        <v>0.23699999999999999</v>
      </c>
      <c r="AC13" t="s">
        <v>126</v>
      </c>
    </row>
    <row r="14" spans="1:29" x14ac:dyDescent="0.2">
      <c r="A14" t="s">
        <v>225</v>
      </c>
      <c r="B14" t="s">
        <v>226</v>
      </c>
      <c r="C14" t="s">
        <v>227</v>
      </c>
      <c r="D14" t="s">
        <v>228</v>
      </c>
      <c r="E14" t="s">
        <v>24</v>
      </c>
      <c r="F14" t="s">
        <v>208</v>
      </c>
      <c r="G14">
        <v>0</v>
      </c>
      <c r="H14">
        <v>0</v>
      </c>
      <c r="I14">
        <v>0</v>
      </c>
      <c r="J14">
        <v>0</v>
      </c>
      <c r="K14">
        <v>0</v>
      </c>
      <c r="L14">
        <v>10966686</v>
      </c>
      <c r="M14">
        <v>0</v>
      </c>
      <c r="N14">
        <v>10966686</v>
      </c>
      <c r="O14">
        <v>9878524.3699999992</v>
      </c>
      <c r="P14">
        <v>1084002.1499999999</v>
      </c>
      <c r="Q14">
        <v>0</v>
      </c>
      <c r="R14">
        <v>10962526.52</v>
      </c>
      <c r="S14">
        <v>0.99960000000000004</v>
      </c>
      <c r="T14">
        <v>7922344.4299999997</v>
      </c>
      <c r="U14">
        <v>1084002.1499999999</v>
      </c>
      <c r="V14">
        <v>0</v>
      </c>
      <c r="W14">
        <v>9006346.5800000001</v>
      </c>
      <c r="X14">
        <v>0.82120000000000004</v>
      </c>
      <c r="Y14">
        <v>7921806.7699999996</v>
      </c>
      <c r="Z14">
        <v>1084002.1499999999</v>
      </c>
      <c r="AA14">
        <v>9005808.9199999999</v>
      </c>
      <c r="AB14">
        <v>0.82120000000000004</v>
      </c>
      <c r="AC14" t="s">
        <v>126</v>
      </c>
    </row>
    <row r="15" spans="1:29" x14ac:dyDescent="0.2">
      <c r="A15" t="s">
        <v>229</v>
      </c>
      <c r="B15" t="s">
        <v>230</v>
      </c>
      <c r="C15" t="s">
        <v>231</v>
      </c>
      <c r="D15" t="s">
        <v>207</v>
      </c>
      <c r="E15" t="s">
        <v>29</v>
      </c>
      <c r="F15" t="s">
        <v>208</v>
      </c>
      <c r="G15">
        <v>0</v>
      </c>
      <c r="H15">
        <v>0</v>
      </c>
      <c r="I15">
        <v>0</v>
      </c>
      <c r="J15">
        <v>0</v>
      </c>
      <c r="K15">
        <v>0</v>
      </c>
      <c r="L15">
        <v>717600</v>
      </c>
      <c r="M15">
        <v>0</v>
      </c>
      <c r="N15">
        <v>717600</v>
      </c>
      <c r="O15">
        <v>710886.51</v>
      </c>
      <c r="P15">
        <v>0</v>
      </c>
      <c r="Q15">
        <v>0</v>
      </c>
      <c r="R15">
        <v>710886.51</v>
      </c>
      <c r="S15">
        <v>0.99060000000000004</v>
      </c>
      <c r="T15">
        <v>47491.51</v>
      </c>
      <c r="U15">
        <v>0</v>
      </c>
      <c r="V15">
        <v>0</v>
      </c>
      <c r="W15">
        <v>47491.51</v>
      </c>
      <c r="X15">
        <v>6.6199999999999995E-2</v>
      </c>
      <c r="Y15">
        <v>47491.51</v>
      </c>
      <c r="Z15">
        <v>0</v>
      </c>
      <c r="AA15">
        <v>47491.51</v>
      </c>
      <c r="AB15">
        <v>6.6199999999999995E-2</v>
      </c>
      <c r="AC15" t="s">
        <v>126</v>
      </c>
    </row>
    <row r="16" spans="1:29" x14ac:dyDescent="0.2">
      <c r="A16" t="s">
        <v>232</v>
      </c>
      <c r="B16" t="s">
        <v>233</v>
      </c>
      <c r="C16" t="s">
        <v>231</v>
      </c>
      <c r="D16" t="s">
        <v>207</v>
      </c>
      <c r="E16" t="s">
        <v>29</v>
      </c>
      <c r="F16" t="s">
        <v>208</v>
      </c>
      <c r="G16">
        <v>0</v>
      </c>
      <c r="H16">
        <v>0</v>
      </c>
      <c r="I16">
        <v>0</v>
      </c>
      <c r="J16">
        <v>0</v>
      </c>
      <c r="K16">
        <v>0</v>
      </c>
      <c r="L16">
        <v>6245900</v>
      </c>
      <c r="M16">
        <v>0</v>
      </c>
      <c r="N16">
        <v>6245900</v>
      </c>
      <c r="O16">
        <v>4981157.6900000004</v>
      </c>
      <c r="P16">
        <v>0</v>
      </c>
      <c r="Q16">
        <v>0</v>
      </c>
      <c r="R16">
        <v>4981157.6900000004</v>
      </c>
      <c r="S16">
        <v>0.79749999999999999</v>
      </c>
      <c r="T16">
        <v>2525927.5699999998</v>
      </c>
      <c r="U16">
        <v>0</v>
      </c>
      <c r="V16">
        <v>0</v>
      </c>
      <c r="W16">
        <v>2525927.5699999998</v>
      </c>
      <c r="X16">
        <v>0.40439999999999998</v>
      </c>
      <c r="Y16">
        <v>2525927.5699999998</v>
      </c>
      <c r="Z16">
        <v>0</v>
      </c>
      <c r="AA16">
        <v>2525927.5699999998</v>
      </c>
      <c r="AB16">
        <v>0.40439999999999998</v>
      </c>
      <c r="AC16" t="s">
        <v>126</v>
      </c>
    </row>
    <row r="17" spans="1:29" x14ac:dyDescent="0.2">
      <c r="A17" t="s">
        <v>234</v>
      </c>
      <c r="B17" t="s">
        <v>235</v>
      </c>
      <c r="C17" t="s">
        <v>231</v>
      </c>
      <c r="D17" t="s">
        <v>207</v>
      </c>
      <c r="E17" t="s">
        <v>0</v>
      </c>
      <c r="F17" t="s">
        <v>208</v>
      </c>
      <c r="G17">
        <v>0</v>
      </c>
      <c r="H17">
        <v>0</v>
      </c>
      <c r="I17">
        <v>0</v>
      </c>
      <c r="J17">
        <v>0</v>
      </c>
      <c r="K17">
        <v>0</v>
      </c>
      <c r="L17">
        <v>109014172.40000001</v>
      </c>
      <c r="M17">
        <v>0</v>
      </c>
      <c r="N17">
        <v>109014172.40000001</v>
      </c>
      <c r="O17">
        <v>4184.7</v>
      </c>
      <c r="P17">
        <v>109009985.06999999</v>
      </c>
      <c r="Q17">
        <v>0</v>
      </c>
      <c r="R17">
        <v>109014169.77</v>
      </c>
      <c r="S17">
        <v>1</v>
      </c>
      <c r="T17">
        <v>0</v>
      </c>
      <c r="U17">
        <v>109009985.06999999</v>
      </c>
      <c r="V17">
        <v>0</v>
      </c>
      <c r="W17">
        <v>109009985.06999999</v>
      </c>
      <c r="X17">
        <v>1</v>
      </c>
      <c r="Y17">
        <v>0</v>
      </c>
      <c r="Z17">
        <v>109009985.06999999</v>
      </c>
      <c r="AA17">
        <v>109009985.06999999</v>
      </c>
      <c r="AB17">
        <v>1</v>
      </c>
      <c r="AC17" t="s">
        <v>126</v>
      </c>
    </row>
    <row r="18" spans="1:29" x14ac:dyDescent="0.2">
      <c r="A18" t="s">
        <v>236</v>
      </c>
      <c r="B18" t="s">
        <v>237</v>
      </c>
      <c r="C18" t="s">
        <v>238</v>
      </c>
      <c r="D18" t="s">
        <v>228</v>
      </c>
      <c r="E18" t="s">
        <v>0</v>
      </c>
      <c r="F18" t="s">
        <v>208</v>
      </c>
      <c r="G18">
        <v>0</v>
      </c>
      <c r="H18">
        <v>0</v>
      </c>
      <c r="I18">
        <v>0</v>
      </c>
      <c r="J18">
        <v>0</v>
      </c>
      <c r="K18">
        <v>0</v>
      </c>
      <c r="L18">
        <v>9792478.6799999997</v>
      </c>
      <c r="M18">
        <v>0</v>
      </c>
      <c r="N18">
        <v>9792478.6799999997</v>
      </c>
      <c r="O18">
        <v>1287490.1399999999</v>
      </c>
      <c r="P18">
        <v>8350587.9800000004</v>
      </c>
      <c r="Q18">
        <v>154399.06</v>
      </c>
      <c r="R18">
        <v>9792477.1799999997</v>
      </c>
      <c r="S18">
        <v>1</v>
      </c>
      <c r="T18">
        <v>0</v>
      </c>
      <c r="U18">
        <v>8350587.9800000004</v>
      </c>
      <c r="V18">
        <v>154399.06</v>
      </c>
      <c r="W18">
        <v>8504987.0399999991</v>
      </c>
      <c r="X18">
        <v>0.86850000000000005</v>
      </c>
      <c r="Y18">
        <v>0</v>
      </c>
      <c r="Z18">
        <v>8350587.9800000004</v>
      </c>
      <c r="AA18">
        <v>8350587.9800000004</v>
      </c>
      <c r="AB18">
        <v>0.8528</v>
      </c>
      <c r="AC18" t="s">
        <v>126</v>
      </c>
    </row>
    <row r="19" spans="1:29" x14ac:dyDescent="0.2">
      <c r="A19" t="s">
        <v>236</v>
      </c>
      <c r="B19" t="s">
        <v>237</v>
      </c>
      <c r="C19" t="s">
        <v>238</v>
      </c>
      <c r="D19" t="s">
        <v>228</v>
      </c>
      <c r="E19" t="s">
        <v>0</v>
      </c>
      <c r="F19" t="s">
        <v>239</v>
      </c>
      <c r="G19">
        <v>0</v>
      </c>
      <c r="H19">
        <v>0</v>
      </c>
      <c r="I19">
        <v>0</v>
      </c>
      <c r="J19">
        <v>0</v>
      </c>
      <c r="K19">
        <v>0</v>
      </c>
      <c r="L19">
        <v>71469049</v>
      </c>
      <c r="M19">
        <v>0</v>
      </c>
      <c r="N19">
        <v>71469049</v>
      </c>
      <c r="O19">
        <v>0</v>
      </c>
      <c r="P19">
        <v>71469029.689999998</v>
      </c>
      <c r="Q19">
        <v>0</v>
      </c>
      <c r="R19">
        <v>71469029.689999998</v>
      </c>
      <c r="S19">
        <v>1</v>
      </c>
      <c r="T19">
        <v>0</v>
      </c>
      <c r="U19">
        <v>71469029.689999998</v>
      </c>
      <c r="V19">
        <v>0</v>
      </c>
      <c r="W19">
        <v>71469029.689999998</v>
      </c>
      <c r="X19">
        <v>1</v>
      </c>
      <c r="Y19">
        <v>0</v>
      </c>
      <c r="Z19">
        <v>71469029.689999998</v>
      </c>
      <c r="AA19">
        <v>71469029.689999998</v>
      </c>
      <c r="AB19">
        <v>1</v>
      </c>
      <c r="AC19" t="s">
        <v>126</v>
      </c>
    </row>
    <row r="20" spans="1:29" x14ac:dyDescent="0.2">
      <c r="A20" t="s">
        <v>236</v>
      </c>
      <c r="B20" t="s">
        <v>237</v>
      </c>
      <c r="C20" t="s">
        <v>238</v>
      </c>
      <c r="D20" t="s">
        <v>228</v>
      </c>
      <c r="E20" t="s">
        <v>0</v>
      </c>
      <c r="F20" t="s">
        <v>262</v>
      </c>
      <c r="G20">
        <v>0</v>
      </c>
      <c r="H20">
        <v>0</v>
      </c>
      <c r="I20">
        <v>0</v>
      </c>
      <c r="J20">
        <v>0</v>
      </c>
      <c r="K20">
        <v>0</v>
      </c>
      <c r="L20">
        <v>20072471.050000001</v>
      </c>
      <c r="M20">
        <v>0</v>
      </c>
      <c r="N20">
        <v>20072471.050000001</v>
      </c>
      <c r="O20">
        <v>278985.19</v>
      </c>
      <c r="P20">
        <v>19793483.210000001</v>
      </c>
      <c r="Q20">
        <v>0</v>
      </c>
      <c r="R20">
        <v>20072468.399999999</v>
      </c>
      <c r="S20">
        <v>1</v>
      </c>
      <c r="T20">
        <v>0</v>
      </c>
      <c r="U20">
        <v>19793483.210000001</v>
      </c>
      <c r="V20">
        <v>0</v>
      </c>
      <c r="W20">
        <v>19793483.210000001</v>
      </c>
      <c r="X20">
        <v>0.98609999999999998</v>
      </c>
      <c r="Y20">
        <v>0</v>
      </c>
      <c r="Z20">
        <v>19793483.210000001</v>
      </c>
      <c r="AA20">
        <v>19793483.210000001</v>
      </c>
      <c r="AB20">
        <v>0.98609999999999998</v>
      </c>
      <c r="AC20" t="s">
        <v>126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F40"/>
  <sheetViews>
    <sheetView workbookViewId="0">
      <selection activeCell="F11" sqref="F11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customWidth="1"/>
    <col min="4" max="4" width="81.140625" customWidth="1"/>
    <col min="5" max="5" width="13.42578125" style="24" bestFit="1" customWidth="1"/>
    <col min="6" max="6" width="18.140625" bestFit="1" customWidth="1"/>
  </cols>
  <sheetData>
    <row r="1" spans="1:6" x14ac:dyDescent="0.2">
      <c r="A1" t="s">
        <v>145</v>
      </c>
      <c r="B1" t="s">
        <v>129</v>
      </c>
      <c r="C1" t="s">
        <v>130</v>
      </c>
      <c r="D1" t="s">
        <v>131</v>
      </c>
      <c r="E1" s="24" t="s">
        <v>263</v>
      </c>
      <c r="F1" t="s">
        <v>95</v>
      </c>
    </row>
    <row r="2" spans="1:6" x14ac:dyDescent="0.2">
      <c r="A2" t="s">
        <v>0</v>
      </c>
      <c r="B2" t="s">
        <v>280</v>
      </c>
      <c r="C2" t="s">
        <v>281</v>
      </c>
      <c r="D2" t="s">
        <v>325</v>
      </c>
      <c r="E2" s="24">
        <v>7387569.2599999998</v>
      </c>
      <c r="F2" t="s">
        <v>402</v>
      </c>
    </row>
    <row r="3" spans="1:6" x14ac:dyDescent="0.2">
      <c r="A3" t="s">
        <v>0</v>
      </c>
      <c r="B3" t="s">
        <v>282</v>
      </c>
      <c r="C3" t="s">
        <v>281</v>
      </c>
      <c r="D3" t="s">
        <v>350</v>
      </c>
      <c r="E3" s="24">
        <v>196451.53</v>
      </c>
      <c r="F3" t="s">
        <v>402</v>
      </c>
    </row>
    <row r="4" spans="1:6" x14ac:dyDescent="0.2">
      <c r="A4" t="s">
        <v>0</v>
      </c>
      <c r="B4" t="s">
        <v>283</v>
      </c>
      <c r="C4" t="s">
        <v>281</v>
      </c>
      <c r="D4" t="s">
        <v>351</v>
      </c>
      <c r="E4" s="24">
        <v>79725.75</v>
      </c>
      <c r="F4" t="s">
        <v>402</v>
      </c>
    </row>
    <row r="5" spans="1:6" x14ac:dyDescent="0.2">
      <c r="A5" t="s">
        <v>0</v>
      </c>
      <c r="B5" t="s">
        <v>284</v>
      </c>
      <c r="C5" t="s">
        <v>281</v>
      </c>
      <c r="D5" t="s">
        <v>326</v>
      </c>
      <c r="E5" s="24">
        <v>1443.55</v>
      </c>
      <c r="F5" t="s">
        <v>402</v>
      </c>
    </row>
    <row r="6" spans="1:6" x14ac:dyDescent="0.2">
      <c r="A6" t="s">
        <v>285</v>
      </c>
      <c r="B6" t="s">
        <v>286</v>
      </c>
      <c r="C6" t="s">
        <v>287</v>
      </c>
      <c r="D6" t="s">
        <v>336</v>
      </c>
      <c r="E6" s="24">
        <v>315001.98</v>
      </c>
      <c r="F6" t="s">
        <v>402</v>
      </c>
    </row>
    <row r="7" spans="1:6" x14ac:dyDescent="0.2">
      <c r="A7" t="s">
        <v>285</v>
      </c>
      <c r="B7" t="s">
        <v>288</v>
      </c>
      <c r="C7" t="s">
        <v>287</v>
      </c>
      <c r="D7" t="s">
        <v>335</v>
      </c>
      <c r="E7" s="24">
        <v>193489.43</v>
      </c>
      <c r="F7" t="s">
        <v>402</v>
      </c>
    </row>
    <row r="8" spans="1:6" x14ac:dyDescent="0.2">
      <c r="A8" t="s">
        <v>285</v>
      </c>
      <c r="B8" t="s">
        <v>289</v>
      </c>
      <c r="C8" t="s">
        <v>287</v>
      </c>
      <c r="D8" t="s">
        <v>338</v>
      </c>
      <c r="E8" s="24">
        <v>18154.3</v>
      </c>
      <c r="F8" t="s">
        <v>402</v>
      </c>
    </row>
    <row r="9" spans="1:6" x14ac:dyDescent="0.2">
      <c r="A9" t="s">
        <v>285</v>
      </c>
      <c r="B9" t="s">
        <v>290</v>
      </c>
      <c r="C9" t="s">
        <v>287</v>
      </c>
      <c r="D9" t="s">
        <v>343</v>
      </c>
      <c r="E9" s="24">
        <v>5418920.8200000003</v>
      </c>
      <c r="F9" t="s">
        <v>402</v>
      </c>
    </row>
    <row r="10" spans="1:6" x14ac:dyDescent="0.2">
      <c r="A10" t="s">
        <v>285</v>
      </c>
      <c r="B10" t="s">
        <v>291</v>
      </c>
      <c r="C10" t="s">
        <v>287</v>
      </c>
      <c r="D10" t="s">
        <v>337</v>
      </c>
      <c r="E10" s="24">
        <v>0</v>
      </c>
      <c r="F10" t="s">
        <v>402</v>
      </c>
    </row>
    <row r="11" spans="1:6" x14ac:dyDescent="0.2">
      <c r="A11" t="s">
        <v>285</v>
      </c>
      <c r="B11" t="s">
        <v>292</v>
      </c>
      <c r="C11" t="s">
        <v>287</v>
      </c>
      <c r="D11" t="s">
        <v>334</v>
      </c>
      <c r="E11" s="24">
        <v>25729.43</v>
      </c>
      <c r="F11" t="s">
        <v>402</v>
      </c>
    </row>
    <row r="12" spans="1:6" x14ac:dyDescent="0.2">
      <c r="A12" t="s">
        <v>285</v>
      </c>
      <c r="B12" t="s">
        <v>293</v>
      </c>
      <c r="C12" t="s">
        <v>287</v>
      </c>
      <c r="D12" t="s">
        <v>344</v>
      </c>
      <c r="E12" s="24">
        <v>753674.05</v>
      </c>
      <c r="F12" t="s">
        <v>402</v>
      </c>
    </row>
    <row r="13" spans="1:6" x14ac:dyDescent="0.2">
      <c r="A13" t="s">
        <v>285</v>
      </c>
      <c r="B13" t="s">
        <v>294</v>
      </c>
      <c r="C13" t="s">
        <v>287</v>
      </c>
      <c r="D13" t="s">
        <v>339</v>
      </c>
      <c r="E13" s="24">
        <v>1331739.3899999999</v>
      </c>
      <c r="F13" t="s">
        <v>402</v>
      </c>
    </row>
    <row r="14" spans="1:6" x14ac:dyDescent="0.2">
      <c r="A14" t="s">
        <v>285</v>
      </c>
      <c r="B14" t="s">
        <v>295</v>
      </c>
      <c r="C14" t="s">
        <v>287</v>
      </c>
      <c r="D14" t="s">
        <v>349</v>
      </c>
      <c r="E14" s="24">
        <v>232720.01</v>
      </c>
      <c r="F14" t="s">
        <v>402</v>
      </c>
    </row>
    <row r="15" spans="1:6" x14ac:dyDescent="0.2">
      <c r="A15" t="s">
        <v>285</v>
      </c>
      <c r="B15" t="s">
        <v>296</v>
      </c>
      <c r="C15" t="s">
        <v>287</v>
      </c>
      <c r="D15" t="s">
        <v>348</v>
      </c>
      <c r="E15" s="24">
        <v>1033234.51</v>
      </c>
      <c r="F15" t="s">
        <v>402</v>
      </c>
    </row>
    <row r="16" spans="1:6" x14ac:dyDescent="0.2">
      <c r="A16" t="s">
        <v>285</v>
      </c>
      <c r="B16" t="s">
        <v>297</v>
      </c>
      <c r="C16" t="s">
        <v>287</v>
      </c>
      <c r="D16" t="s">
        <v>357</v>
      </c>
      <c r="E16" s="24">
        <v>1040288.48</v>
      </c>
      <c r="F16" t="s">
        <v>402</v>
      </c>
    </row>
    <row r="17" spans="1:6" x14ac:dyDescent="0.2">
      <c r="A17" t="s">
        <v>285</v>
      </c>
      <c r="B17" t="s">
        <v>298</v>
      </c>
      <c r="C17" t="s">
        <v>287</v>
      </c>
      <c r="D17" t="s">
        <v>342</v>
      </c>
      <c r="E17" s="24">
        <v>1501255.39</v>
      </c>
      <c r="F17" t="s">
        <v>402</v>
      </c>
    </row>
    <row r="18" spans="1:6" x14ac:dyDescent="0.2">
      <c r="A18" t="s">
        <v>285</v>
      </c>
      <c r="B18" t="s">
        <v>299</v>
      </c>
      <c r="C18" t="s">
        <v>287</v>
      </c>
      <c r="D18" t="s">
        <v>361</v>
      </c>
      <c r="E18" s="24">
        <v>620487.66</v>
      </c>
      <c r="F18" t="s">
        <v>402</v>
      </c>
    </row>
    <row r="19" spans="1:6" x14ac:dyDescent="0.2">
      <c r="A19" t="s">
        <v>285</v>
      </c>
      <c r="B19" t="s">
        <v>300</v>
      </c>
      <c r="C19" t="s">
        <v>287</v>
      </c>
      <c r="D19" t="s">
        <v>355</v>
      </c>
      <c r="E19" s="24">
        <v>603948.26</v>
      </c>
      <c r="F19" t="s">
        <v>402</v>
      </c>
    </row>
    <row r="20" spans="1:6" x14ac:dyDescent="0.2">
      <c r="A20" t="s">
        <v>285</v>
      </c>
      <c r="B20" t="s">
        <v>301</v>
      </c>
      <c r="C20" t="s">
        <v>287</v>
      </c>
      <c r="D20" t="s">
        <v>354</v>
      </c>
      <c r="E20" s="24">
        <v>912380.47</v>
      </c>
      <c r="F20" t="s">
        <v>402</v>
      </c>
    </row>
    <row r="21" spans="1:6" x14ac:dyDescent="0.2">
      <c r="A21" t="s">
        <v>285</v>
      </c>
      <c r="B21" t="s">
        <v>302</v>
      </c>
      <c r="C21" t="s">
        <v>287</v>
      </c>
      <c r="D21" t="s">
        <v>345</v>
      </c>
      <c r="E21" s="24">
        <v>30952.799999999999</v>
      </c>
      <c r="F21" t="s">
        <v>402</v>
      </c>
    </row>
    <row r="22" spans="1:6" x14ac:dyDescent="0.2">
      <c r="A22" t="s">
        <v>285</v>
      </c>
      <c r="B22" t="s">
        <v>303</v>
      </c>
      <c r="C22" t="s">
        <v>287</v>
      </c>
      <c r="D22" t="s">
        <v>341</v>
      </c>
      <c r="E22" s="24">
        <v>278959.12</v>
      </c>
      <c r="F22" t="s">
        <v>402</v>
      </c>
    </row>
    <row r="23" spans="1:6" x14ac:dyDescent="0.2">
      <c r="A23" t="s">
        <v>285</v>
      </c>
      <c r="B23" t="s">
        <v>304</v>
      </c>
      <c r="C23" t="s">
        <v>287</v>
      </c>
      <c r="D23" t="s">
        <v>352</v>
      </c>
      <c r="E23" s="24">
        <v>108005.27</v>
      </c>
      <c r="F23" t="s">
        <v>402</v>
      </c>
    </row>
    <row r="24" spans="1:6" x14ac:dyDescent="0.2">
      <c r="A24" t="s">
        <v>285</v>
      </c>
      <c r="B24" t="s">
        <v>305</v>
      </c>
      <c r="C24" t="s">
        <v>287</v>
      </c>
      <c r="D24" t="s">
        <v>347</v>
      </c>
      <c r="E24" s="24">
        <v>672561.09</v>
      </c>
      <c r="F24" t="s">
        <v>402</v>
      </c>
    </row>
    <row r="25" spans="1:6" x14ac:dyDescent="0.2">
      <c r="A25" t="s">
        <v>285</v>
      </c>
      <c r="B25" t="s">
        <v>306</v>
      </c>
      <c r="C25" t="s">
        <v>287</v>
      </c>
      <c r="D25" t="s">
        <v>327</v>
      </c>
      <c r="E25" s="24">
        <v>215552.19</v>
      </c>
      <c r="F25" t="s">
        <v>402</v>
      </c>
    </row>
    <row r="26" spans="1:6" x14ac:dyDescent="0.2">
      <c r="A26" t="s">
        <v>285</v>
      </c>
      <c r="B26" t="s">
        <v>307</v>
      </c>
      <c r="C26" t="s">
        <v>287</v>
      </c>
      <c r="D26" t="s">
        <v>358</v>
      </c>
      <c r="E26" s="24">
        <v>0</v>
      </c>
      <c r="F26" t="s">
        <v>402</v>
      </c>
    </row>
    <row r="27" spans="1:6" x14ac:dyDescent="0.2">
      <c r="A27" t="s">
        <v>285</v>
      </c>
      <c r="B27" t="s">
        <v>308</v>
      </c>
      <c r="C27" t="s">
        <v>287</v>
      </c>
      <c r="D27" t="s">
        <v>356</v>
      </c>
      <c r="E27" s="24">
        <v>16479.419999999998</v>
      </c>
      <c r="F27" t="s">
        <v>402</v>
      </c>
    </row>
    <row r="28" spans="1:6" x14ac:dyDescent="0.2">
      <c r="A28" t="s">
        <v>285</v>
      </c>
      <c r="B28" t="s">
        <v>309</v>
      </c>
      <c r="C28" t="s">
        <v>287</v>
      </c>
      <c r="D28" t="s">
        <v>353</v>
      </c>
      <c r="E28" s="24">
        <v>247509.53</v>
      </c>
      <c r="F28" t="s">
        <v>402</v>
      </c>
    </row>
    <row r="29" spans="1:6" x14ac:dyDescent="0.2">
      <c r="A29" t="s">
        <v>285</v>
      </c>
      <c r="B29" t="s">
        <v>310</v>
      </c>
      <c r="C29" t="s">
        <v>287</v>
      </c>
      <c r="D29" t="s">
        <v>346</v>
      </c>
      <c r="E29" s="24">
        <v>2876515.18</v>
      </c>
      <c r="F29" t="s">
        <v>402</v>
      </c>
    </row>
    <row r="30" spans="1:6" x14ac:dyDescent="0.2">
      <c r="A30" t="s">
        <v>285</v>
      </c>
      <c r="B30" t="s">
        <v>311</v>
      </c>
      <c r="C30" t="s">
        <v>287</v>
      </c>
      <c r="D30" t="s">
        <v>328</v>
      </c>
      <c r="E30" s="24">
        <v>0</v>
      </c>
      <c r="F30" t="s">
        <v>402</v>
      </c>
    </row>
    <row r="31" spans="1:6" x14ac:dyDescent="0.2">
      <c r="A31" s="99" t="s">
        <v>285</v>
      </c>
      <c r="B31" s="99" t="s">
        <v>312</v>
      </c>
      <c r="C31" s="99" t="s">
        <v>287</v>
      </c>
      <c r="D31" s="99" t="s">
        <v>340</v>
      </c>
      <c r="E31" s="100">
        <v>9997313.3100000005</v>
      </c>
      <c r="F31" s="99" t="s">
        <v>402</v>
      </c>
    </row>
    <row r="32" spans="1:6" x14ac:dyDescent="0.2">
      <c r="A32" t="s">
        <v>24</v>
      </c>
      <c r="B32" t="s">
        <v>313</v>
      </c>
      <c r="C32" t="s">
        <v>314</v>
      </c>
      <c r="D32" t="s">
        <v>359</v>
      </c>
      <c r="E32" s="24">
        <v>5198901.1399999997</v>
      </c>
      <c r="F32" t="s">
        <v>402</v>
      </c>
    </row>
    <row r="33" spans="1:6" x14ac:dyDescent="0.2">
      <c r="A33" t="s">
        <v>24</v>
      </c>
      <c r="B33" t="s">
        <v>315</v>
      </c>
      <c r="C33" t="s">
        <v>314</v>
      </c>
      <c r="D33" t="s">
        <v>329</v>
      </c>
      <c r="E33" s="24">
        <v>869380</v>
      </c>
      <c r="F33" t="s">
        <v>402</v>
      </c>
    </row>
    <row r="34" spans="1:6" x14ac:dyDescent="0.2">
      <c r="A34" t="s">
        <v>24</v>
      </c>
      <c r="B34" t="s">
        <v>316</v>
      </c>
      <c r="C34" t="s">
        <v>314</v>
      </c>
      <c r="D34" t="s">
        <v>330</v>
      </c>
      <c r="E34" s="24">
        <v>2698764</v>
      </c>
      <c r="F34" t="s">
        <v>402</v>
      </c>
    </row>
    <row r="35" spans="1:6" x14ac:dyDescent="0.2">
      <c r="A35" t="s">
        <v>24</v>
      </c>
      <c r="B35" t="s">
        <v>317</v>
      </c>
      <c r="C35" t="s">
        <v>314</v>
      </c>
      <c r="D35" t="s">
        <v>331</v>
      </c>
      <c r="E35" s="24">
        <v>0</v>
      </c>
      <c r="F35" t="s">
        <v>402</v>
      </c>
    </row>
    <row r="36" spans="1:6" x14ac:dyDescent="0.2">
      <c r="A36" t="s">
        <v>24</v>
      </c>
      <c r="B36" t="s">
        <v>318</v>
      </c>
      <c r="C36" t="s">
        <v>314</v>
      </c>
      <c r="D36" t="s">
        <v>360</v>
      </c>
      <c r="E36" s="24">
        <v>8138435.8099999996</v>
      </c>
      <c r="F36" t="s">
        <v>402</v>
      </c>
    </row>
    <row r="37" spans="1:6" x14ac:dyDescent="0.2">
      <c r="A37" t="s">
        <v>29</v>
      </c>
      <c r="B37" t="s">
        <v>319</v>
      </c>
      <c r="C37" t="s">
        <v>320</v>
      </c>
      <c r="D37" t="s">
        <v>332</v>
      </c>
      <c r="E37" s="24">
        <v>0</v>
      </c>
      <c r="F37" t="s">
        <v>402</v>
      </c>
    </row>
    <row r="38" spans="1:6" x14ac:dyDescent="0.2">
      <c r="A38" t="s">
        <v>29</v>
      </c>
      <c r="B38" t="s">
        <v>321</v>
      </c>
      <c r="C38" t="s">
        <v>320</v>
      </c>
      <c r="D38" t="s">
        <v>333</v>
      </c>
      <c r="E38" s="24">
        <v>0</v>
      </c>
      <c r="F38" t="s">
        <v>402</v>
      </c>
    </row>
    <row r="40" spans="1:6" x14ac:dyDescent="0.2">
      <c r="E40" s="24">
        <f>SUM(E2:E39)</f>
        <v>53015543.13000001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G45"/>
  <sheetViews>
    <sheetView topLeftCell="A13" workbookViewId="0">
      <selection activeCell="F11" sqref="F11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146</v>
      </c>
    </row>
    <row r="2" spans="1:7" x14ac:dyDescent="0.2">
      <c r="A2" s="35" t="s">
        <v>147</v>
      </c>
    </row>
    <row r="3" spans="1:7" x14ac:dyDescent="0.2">
      <c r="A3" s="35" t="s">
        <v>148</v>
      </c>
    </row>
    <row r="4" spans="1:7" x14ac:dyDescent="0.2">
      <c r="A4" s="35" t="s">
        <v>149</v>
      </c>
    </row>
    <row r="5" spans="1:7" x14ac:dyDescent="0.2">
      <c r="A5" s="35" t="s">
        <v>150</v>
      </c>
    </row>
    <row r="8" spans="1:7" x14ac:dyDescent="0.2">
      <c r="A8" s="184" t="s">
        <v>151</v>
      </c>
      <c r="B8" s="184"/>
      <c r="C8" s="184"/>
      <c r="D8" s="184"/>
      <c r="E8" s="184"/>
      <c r="F8" s="184"/>
      <c r="G8" s="184"/>
    </row>
    <row r="9" spans="1:7" x14ac:dyDescent="0.2">
      <c r="A9" s="184" t="s">
        <v>152</v>
      </c>
      <c r="B9" s="184"/>
      <c r="C9" s="184"/>
      <c r="D9" s="184"/>
      <c r="E9" s="184"/>
      <c r="F9" s="184"/>
      <c r="G9" s="184"/>
    </row>
    <row r="10" spans="1:7" x14ac:dyDescent="0.2">
      <c r="A10" s="185" t="s">
        <v>153</v>
      </c>
      <c r="B10" s="184"/>
      <c r="C10" s="184"/>
      <c r="D10" s="184"/>
      <c r="E10" s="184"/>
      <c r="F10" s="184"/>
      <c r="G10" s="184"/>
    </row>
    <row r="13" spans="1:7" ht="13.5" thickBot="1" x14ac:dyDescent="0.25">
      <c r="A13" s="36" t="s">
        <v>154</v>
      </c>
      <c r="B13" s="36"/>
      <c r="C13" s="36"/>
      <c r="D13" s="36"/>
      <c r="E13" s="36"/>
      <c r="F13" s="36"/>
      <c r="G13" s="36"/>
    </row>
    <row r="14" spans="1:7" ht="13.5" thickBot="1" x14ac:dyDescent="0.25">
      <c r="A14" s="37"/>
      <c r="B14" s="186" t="s">
        <v>155</v>
      </c>
      <c r="C14" s="187"/>
      <c r="D14" s="188"/>
      <c r="E14" s="189" t="s">
        <v>156</v>
      </c>
      <c r="F14" s="190"/>
      <c r="G14" s="190"/>
    </row>
    <row r="15" spans="1:7" ht="14.25" thickTop="1" thickBot="1" x14ac:dyDescent="0.25">
      <c r="A15" s="38" t="s">
        <v>157</v>
      </c>
      <c r="B15" s="177" t="s">
        <v>158</v>
      </c>
      <c r="C15" s="178"/>
      <c r="D15" s="179" t="s">
        <v>70</v>
      </c>
      <c r="E15" s="181" t="s">
        <v>158</v>
      </c>
      <c r="F15" s="178"/>
      <c r="G15" s="182" t="s">
        <v>70</v>
      </c>
    </row>
    <row r="16" spans="1:7" ht="14.25" thickTop="1" thickBot="1" x14ac:dyDescent="0.25">
      <c r="A16" s="39"/>
      <c r="B16" s="40" t="s">
        <v>159</v>
      </c>
      <c r="C16" s="41" t="s">
        <v>160</v>
      </c>
      <c r="D16" s="180"/>
      <c r="E16" s="42" t="s">
        <v>159</v>
      </c>
      <c r="F16" s="40" t="s">
        <v>160</v>
      </c>
      <c r="G16" s="183"/>
    </row>
    <row r="17" spans="1:7" ht="13.5" thickTop="1" x14ac:dyDescent="0.2">
      <c r="A17" s="43"/>
      <c r="B17" s="44"/>
      <c r="C17" s="45"/>
      <c r="D17" s="46"/>
      <c r="E17" s="47"/>
      <c r="F17" s="48"/>
    </row>
    <row r="18" spans="1:7" x14ac:dyDescent="0.2">
      <c r="A18" s="49" t="s">
        <v>117</v>
      </c>
      <c r="B18" s="50"/>
      <c r="C18" s="51"/>
      <c r="D18" s="52">
        <f>SUM(B18:C18)</f>
        <v>0</v>
      </c>
      <c r="E18" s="53"/>
      <c r="F18" s="50"/>
      <c r="G18" s="51">
        <f>SUM(E18:F18)</f>
        <v>0</v>
      </c>
    </row>
    <row r="19" spans="1:7" x14ac:dyDescent="0.2">
      <c r="A19" s="49"/>
      <c r="B19" s="54"/>
      <c r="C19" s="50"/>
      <c r="D19" s="55"/>
      <c r="E19" s="53"/>
      <c r="F19" s="50"/>
      <c r="G19" s="51"/>
    </row>
    <row r="20" spans="1:7" x14ac:dyDescent="0.2">
      <c r="A20" s="49" t="s">
        <v>161</v>
      </c>
      <c r="B20" s="50"/>
      <c r="C20" s="50"/>
      <c r="D20" s="55">
        <f>SUM(B20:C20)</f>
        <v>0</v>
      </c>
      <c r="E20" s="53"/>
      <c r="F20" s="50"/>
      <c r="G20" s="51">
        <f>SUM(E20:F20)</f>
        <v>0</v>
      </c>
    </row>
    <row r="21" spans="1:7" x14ac:dyDescent="0.2">
      <c r="A21" s="49"/>
      <c r="B21" s="54"/>
      <c r="C21" s="50"/>
      <c r="D21" s="55"/>
      <c r="E21" s="53"/>
      <c r="F21" s="50"/>
      <c r="G21" s="51"/>
    </row>
    <row r="22" spans="1:7" x14ac:dyDescent="0.2">
      <c r="A22" s="49" t="s">
        <v>118</v>
      </c>
      <c r="B22" s="50"/>
      <c r="C22" s="50"/>
      <c r="D22" s="55">
        <f>SUM(B22:C22)</f>
        <v>0</v>
      </c>
      <c r="E22" s="53"/>
      <c r="F22" s="50"/>
      <c r="G22" s="51">
        <f>SUM(E22:F22)</f>
        <v>0</v>
      </c>
    </row>
    <row r="23" spans="1:7" x14ac:dyDescent="0.2">
      <c r="A23" s="49"/>
      <c r="B23" s="54"/>
      <c r="C23" s="50"/>
      <c r="D23" s="55"/>
      <c r="E23" s="53"/>
      <c r="F23" s="50"/>
      <c r="G23" s="51"/>
    </row>
    <row r="24" spans="1:7" x14ac:dyDescent="0.2">
      <c r="A24" s="49" t="s">
        <v>119</v>
      </c>
      <c r="B24" s="50"/>
      <c r="C24" s="51"/>
      <c r="D24" s="52">
        <f>SUM(B24:C24)</f>
        <v>0</v>
      </c>
      <c r="E24" s="53"/>
      <c r="F24" s="50"/>
      <c r="G24" s="51">
        <f>SUM(E24:F24)</f>
        <v>0</v>
      </c>
    </row>
    <row r="25" spans="1:7" x14ac:dyDescent="0.2">
      <c r="A25" s="49"/>
      <c r="B25" s="54"/>
      <c r="C25" s="50"/>
      <c r="D25" s="55"/>
      <c r="E25" s="53"/>
      <c r="F25" s="50"/>
      <c r="G25" s="51"/>
    </row>
    <row r="26" spans="1:7" x14ac:dyDescent="0.2">
      <c r="A26" s="49" t="s">
        <v>120</v>
      </c>
      <c r="B26" s="50"/>
      <c r="C26" s="50"/>
      <c r="D26" s="55">
        <f>SUM(B26:C26)</f>
        <v>0</v>
      </c>
      <c r="E26" s="53"/>
      <c r="F26" s="50"/>
      <c r="G26" s="51">
        <f>SUM(E26:F26)</f>
        <v>0</v>
      </c>
    </row>
    <row r="27" spans="1:7" x14ac:dyDescent="0.2">
      <c r="A27" s="49"/>
      <c r="B27" s="54"/>
      <c r="C27" s="50"/>
      <c r="D27" s="55"/>
      <c r="E27" s="53"/>
      <c r="F27" s="50"/>
      <c r="G27" s="51"/>
    </row>
    <row r="28" spans="1:7" x14ac:dyDescent="0.2">
      <c r="A28" s="49" t="s">
        <v>121</v>
      </c>
      <c r="B28" s="50"/>
      <c r="C28" s="50"/>
      <c r="D28" s="55">
        <f>SUM(B28:C28)</f>
        <v>0</v>
      </c>
      <c r="E28" s="53"/>
      <c r="F28" s="50"/>
      <c r="G28" s="51">
        <f>SUM(E28:F28)</f>
        <v>0</v>
      </c>
    </row>
    <row r="29" spans="1:7" x14ac:dyDescent="0.2">
      <c r="A29" s="49"/>
      <c r="B29" s="54"/>
      <c r="C29" s="50"/>
      <c r="D29" s="55"/>
      <c r="E29" s="53"/>
      <c r="F29" s="50"/>
      <c r="G29" s="51"/>
    </row>
    <row r="30" spans="1:7" x14ac:dyDescent="0.2">
      <c r="A30" s="49" t="s">
        <v>162</v>
      </c>
      <c r="B30" s="50"/>
      <c r="C30" s="51"/>
      <c r="D30" s="52">
        <f>SUM(B30:C30)</f>
        <v>0</v>
      </c>
      <c r="E30" s="53"/>
      <c r="F30" s="50"/>
      <c r="G30" s="51">
        <f>SUM(E30:F30)</f>
        <v>0</v>
      </c>
    </row>
    <row r="31" spans="1:7" x14ac:dyDescent="0.2">
      <c r="A31" s="49"/>
      <c r="B31" s="54"/>
      <c r="C31" s="50"/>
      <c r="D31" s="55"/>
      <c r="E31" s="53"/>
      <c r="F31" s="50"/>
      <c r="G31" s="51"/>
    </row>
    <row r="32" spans="1:7" x14ac:dyDescent="0.2">
      <c r="A32" s="49" t="s">
        <v>163</v>
      </c>
      <c r="B32" s="50"/>
      <c r="C32" s="50"/>
      <c r="D32" s="55">
        <f>SUM(B32:C32)</f>
        <v>0</v>
      </c>
      <c r="E32" s="53"/>
      <c r="F32" s="50"/>
      <c r="G32" s="51">
        <f>SUM(E32:F32)</f>
        <v>0</v>
      </c>
    </row>
    <row r="33" spans="1:7" x14ac:dyDescent="0.2">
      <c r="A33" s="49"/>
      <c r="B33" s="54"/>
      <c r="C33" s="50"/>
      <c r="D33" s="55"/>
      <c r="E33" s="53"/>
      <c r="F33" s="50"/>
      <c r="G33" s="51"/>
    </row>
    <row r="34" spans="1:7" x14ac:dyDescent="0.2">
      <c r="A34" s="49" t="s">
        <v>164</v>
      </c>
      <c r="B34" s="50"/>
      <c r="C34" s="50"/>
      <c r="D34" s="55">
        <f>SUM(B34:C34)</f>
        <v>0</v>
      </c>
      <c r="E34" s="53"/>
      <c r="F34" s="50"/>
      <c r="G34" s="51">
        <f>SUM(E34:F34)</f>
        <v>0</v>
      </c>
    </row>
    <row r="35" spans="1:7" x14ac:dyDescent="0.2">
      <c r="A35" s="49"/>
      <c r="B35" s="54"/>
      <c r="C35" s="50"/>
      <c r="D35" s="55"/>
      <c r="E35" s="53"/>
      <c r="F35" s="50"/>
      <c r="G35" s="51"/>
    </row>
    <row r="36" spans="1:7" x14ac:dyDescent="0.2">
      <c r="A36" s="49" t="s">
        <v>165</v>
      </c>
      <c r="B36" s="50"/>
      <c r="C36" s="50"/>
      <c r="D36" s="55">
        <f>SUM(B36:C36)</f>
        <v>0</v>
      </c>
      <c r="E36" s="53"/>
      <c r="F36" s="50"/>
      <c r="G36" s="51">
        <f>SUM(E36:F36)</f>
        <v>0</v>
      </c>
    </row>
    <row r="37" spans="1:7" x14ac:dyDescent="0.2">
      <c r="A37" s="49"/>
      <c r="B37" s="54"/>
      <c r="C37" s="50"/>
      <c r="D37" s="55"/>
      <c r="E37" s="53"/>
      <c r="F37" s="50"/>
      <c r="G37" s="51"/>
    </row>
    <row r="38" spans="1:7" x14ac:dyDescent="0.2">
      <c r="A38" s="49" t="s">
        <v>166</v>
      </c>
      <c r="B38" s="50"/>
      <c r="C38" s="50"/>
      <c r="D38" s="55">
        <f>SUM(B38:C38)</f>
        <v>0</v>
      </c>
      <c r="E38" s="53"/>
      <c r="F38" s="50"/>
      <c r="G38" s="51">
        <f>SUM(E38:F38)</f>
        <v>0</v>
      </c>
    </row>
    <row r="39" spans="1:7" x14ac:dyDescent="0.2">
      <c r="A39" s="49"/>
      <c r="B39" s="54"/>
      <c r="C39" s="50"/>
      <c r="D39" s="55"/>
      <c r="E39" s="53"/>
      <c r="F39" s="50"/>
      <c r="G39" s="51"/>
    </row>
    <row r="40" spans="1:7" x14ac:dyDescent="0.2">
      <c r="A40" s="49" t="s">
        <v>167</v>
      </c>
      <c r="B40" s="50"/>
      <c r="C40" s="50"/>
      <c r="D40" s="55">
        <f>SUM(B40:C40)</f>
        <v>0</v>
      </c>
      <c r="E40" s="53"/>
      <c r="F40" s="50"/>
      <c r="G40" s="51">
        <f>SUM(E40:F40)</f>
        <v>0</v>
      </c>
    </row>
    <row r="41" spans="1:7" ht="13.5" thickBot="1" x14ac:dyDescent="0.25">
      <c r="A41" s="56"/>
      <c r="B41" s="56"/>
      <c r="C41" s="57"/>
      <c r="D41" s="58"/>
      <c r="E41" s="59"/>
      <c r="F41" s="57"/>
      <c r="G41" s="60"/>
    </row>
    <row r="42" spans="1:7" ht="13.5" thickTop="1" x14ac:dyDescent="0.2">
      <c r="A42" s="49"/>
      <c r="B42" s="49"/>
      <c r="C42" s="61"/>
      <c r="D42" s="62"/>
      <c r="E42" s="63"/>
      <c r="F42" s="61"/>
    </row>
    <row r="43" spans="1:7" x14ac:dyDescent="0.2">
      <c r="A43" s="64" t="s">
        <v>168</v>
      </c>
      <c r="B43" s="65">
        <f t="shared" ref="B43:G43" si="0">SUM(B18:B40)</f>
        <v>0</v>
      </c>
      <c r="C43" s="65">
        <f t="shared" si="0"/>
        <v>0</v>
      </c>
      <c r="D43" s="66">
        <f t="shared" si="0"/>
        <v>0</v>
      </c>
      <c r="E43" s="65">
        <f t="shared" si="0"/>
        <v>0</v>
      </c>
      <c r="F43" s="65">
        <f t="shared" si="0"/>
        <v>0</v>
      </c>
      <c r="G43" s="67">
        <f t="shared" si="0"/>
        <v>0</v>
      </c>
    </row>
    <row r="44" spans="1:7" ht="13.5" thickBot="1" x14ac:dyDescent="0.25">
      <c r="A44" s="68"/>
      <c r="B44" s="68"/>
      <c r="C44" s="69"/>
      <c r="D44" s="70"/>
      <c r="E44" s="71"/>
      <c r="F44" s="69"/>
      <c r="G44" s="36"/>
    </row>
    <row r="45" spans="1:7" x14ac:dyDescent="0.2">
      <c r="A45" s="1" t="s">
        <v>169</v>
      </c>
      <c r="F45" s="1" t="s">
        <v>170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F100"/>
  <sheetViews>
    <sheetView showGridLines="0" view="pageBreakPreview" topLeftCell="A71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4" width="15.7109375" customWidth="1"/>
    <col min="5" max="5" width="15" bestFit="1" customWidth="1"/>
  </cols>
  <sheetData>
    <row r="1" spans="1:3" x14ac:dyDescent="0.2">
      <c r="A1" s="164" t="s">
        <v>254</v>
      </c>
      <c r="B1" s="164"/>
      <c r="C1" s="164"/>
    </row>
    <row r="3" spans="1:3" x14ac:dyDescent="0.2">
      <c r="A3" s="2" t="s">
        <v>32</v>
      </c>
      <c r="B3" s="163" t="s">
        <v>255</v>
      </c>
      <c r="C3" s="163"/>
    </row>
    <row r="4" spans="1:3" x14ac:dyDescent="0.2">
      <c r="A4" s="2" t="s">
        <v>33</v>
      </c>
      <c r="B4" s="163" t="s">
        <v>256</v>
      </c>
      <c r="C4" s="163"/>
    </row>
    <row r="5" spans="1:3" x14ac:dyDescent="0.2">
      <c r="A5" s="2" t="s">
        <v>34</v>
      </c>
      <c r="B5" s="163" t="s">
        <v>367</v>
      </c>
      <c r="C5" s="163"/>
    </row>
    <row r="6" spans="1:3" x14ac:dyDescent="0.2">
      <c r="A6" s="2" t="s">
        <v>35</v>
      </c>
      <c r="B6" s="163" t="s">
        <v>257</v>
      </c>
      <c r="C6" s="163"/>
    </row>
    <row r="7" spans="1:3" x14ac:dyDescent="0.2">
      <c r="A7" s="2" t="s">
        <v>36</v>
      </c>
      <c r="B7" s="160" t="s">
        <v>377</v>
      </c>
      <c r="C7" s="161"/>
    </row>
    <row r="8" spans="1:3" x14ac:dyDescent="0.2">
      <c r="A8" s="2" t="s">
        <v>37</v>
      </c>
      <c r="B8" s="162">
        <v>42811</v>
      </c>
      <c r="C8" s="163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273</v>
      </c>
    </row>
    <row r="13" spans="1:3" x14ac:dyDescent="0.2">
      <c r="A13" s="2" t="s">
        <v>40</v>
      </c>
      <c r="B13" s="5" t="s">
        <v>1</v>
      </c>
      <c r="C13" s="10">
        <f>'Despesa - Access'!F2</f>
        <v>73006074.140000001</v>
      </c>
    </row>
    <row r="14" spans="1:3" x14ac:dyDescent="0.2">
      <c r="A14" s="2" t="s">
        <v>41</v>
      </c>
      <c r="B14" s="5" t="s">
        <v>2</v>
      </c>
      <c r="C14" s="10">
        <f>'Despesa - Access'!F3</f>
        <v>13797349.98</v>
      </c>
    </row>
    <row r="15" spans="1:3" x14ac:dyDescent="0.2">
      <c r="A15" s="2" t="s">
        <v>42</v>
      </c>
      <c r="B15" s="5" t="s">
        <v>266</v>
      </c>
      <c r="C15" s="10">
        <f>'Despesa - Access'!F4</f>
        <v>13137084.439999999</v>
      </c>
    </row>
    <row r="16" spans="1:3" ht="51" x14ac:dyDescent="0.2">
      <c r="A16" s="6" t="s">
        <v>43</v>
      </c>
      <c r="B16" s="5" t="s">
        <v>274</v>
      </c>
      <c r="C16" s="10">
        <f>'Despesa - Access'!F5</f>
        <v>0</v>
      </c>
    </row>
    <row r="17" spans="1:4" x14ac:dyDescent="0.2">
      <c r="A17" s="165" t="s">
        <v>70</v>
      </c>
      <c r="B17" s="165"/>
      <c r="C17" s="10">
        <f>SUM(C13:C16)</f>
        <v>99940508.560000002</v>
      </c>
      <c r="D17">
        <f>99940508.56</f>
        <v>99940508.560000002</v>
      </c>
    </row>
    <row r="18" spans="1:4" x14ac:dyDescent="0.2">
      <c r="D18" s="8">
        <f>+D17-C17</f>
        <v>0</v>
      </c>
    </row>
    <row r="19" spans="1:4" x14ac:dyDescent="0.2">
      <c r="A19" s="4" t="s">
        <v>71</v>
      </c>
    </row>
    <row r="21" spans="1:4" x14ac:dyDescent="0.2">
      <c r="A21" s="3" t="s">
        <v>38</v>
      </c>
      <c r="B21" s="3" t="s">
        <v>39</v>
      </c>
      <c r="C21" s="11" t="s">
        <v>273</v>
      </c>
    </row>
    <row r="22" spans="1:4" x14ac:dyDescent="0.2">
      <c r="A22" s="2" t="s">
        <v>40</v>
      </c>
      <c r="B22" s="2" t="s">
        <v>3</v>
      </c>
      <c r="C22" s="9">
        <f>'Despesa - Access'!F6</f>
        <v>51023.33</v>
      </c>
    </row>
    <row r="23" spans="1:4" x14ac:dyDescent="0.2">
      <c r="A23" s="2" t="s">
        <v>41</v>
      </c>
      <c r="B23" s="2" t="s">
        <v>4</v>
      </c>
      <c r="C23" s="9">
        <f>'Despesa - Access'!F7</f>
        <v>4078578.19</v>
      </c>
    </row>
    <row r="24" spans="1:4" x14ac:dyDescent="0.2">
      <c r="A24" s="2" t="s">
        <v>42</v>
      </c>
      <c r="B24" s="2" t="s">
        <v>5</v>
      </c>
      <c r="C24" s="9">
        <f>'Despesa - Access'!F8</f>
        <v>551511</v>
      </c>
    </row>
    <row r="25" spans="1:4" x14ac:dyDescent="0.2">
      <c r="A25" s="2" t="s">
        <v>43</v>
      </c>
      <c r="B25" s="2" t="s">
        <v>6</v>
      </c>
      <c r="C25" s="9">
        <f>'Despesa - Access'!F9</f>
        <v>2220858.7200000002</v>
      </c>
    </row>
    <row r="26" spans="1:4" x14ac:dyDescent="0.2">
      <c r="A26" s="2" t="s">
        <v>44</v>
      </c>
      <c r="B26" s="2" t="s">
        <v>7</v>
      </c>
      <c r="C26" s="9">
        <f>'Despesa - Access'!F10</f>
        <v>109540.81</v>
      </c>
    </row>
    <row r="27" spans="1:4" x14ac:dyDescent="0.2">
      <c r="A27" s="2" t="s">
        <v>45</v>
      </c>
      <c r="B27" s="2" t="s">
        <v>67</v>
      </c>
      <c r="C27" s="9">
        <f>'Despesa - Access'!F11</f>
        <v>12003.62</v>
      </c>
    </row>
    <row r="28" spans="1:4" x14ac:dyDescent="0.2">
      <c r="A28" s="2" t="s">
        <v>46</v>
      </c>
      <c r="B28" s="2" t="s">
        <v>8</v>
      </c>
      <c r="C28" s="9">
        <f>'Despesa - Access'!F12</f>
        <v>1671779.91</v>
      </c>
    </row>
    <row r="29" spans="1:4" x14ac:dyDescent="0.2">
      <c r="A29" s="2" t="s">
        <v>47</v>
      </c>
      <c r="B29" s="2" t="s">
        <v>9</v>
      </c>
      <c r="C29" s="9">
        <f>'Despesa - Access'!F13</f>
        <v>2449259.4500000002</v>
      </c>
    </row>
    <row r="30" spans="1:4" x14ac:dyDescent="0.2">
      <c r="A30" s="2" t="s">
        <v>48</v>
      </c>
      <c r="B30" s="2" t="s">
        <v>10</v>
      </c>
      <c r="C30" s="9">
        <f>'Despesa - Access'!F14</f>
        <v>100371.71</v>
      </c>
    </row>
    <row r="31" spans="1:4" x14ac:dyDescent="0.2">
      <c r="A31" s="2" t="s">
        <v>49</v>
      </c>
      <c r="B31" s="2" t="s">
        <v>11</v>
      </c>
      <c r="C31" s="9">
        <f>'Despesa - Access'!F15</f>
        <v>358610.8</v>
      </c>
    </row>
    <row r="32" spans="1:4" x14ac:dyDescent="0.2">
      <c r="A32" s="2" t="s">
        <v>50</v>
      </c>
      <c r="B32" s="2" t="s">
        <v>12</v>
      </c>
      <c r="C32" s="9">
        <f>'Despesa - Access'!F16</f>
        <v>5909.89</v>
      </c>
    </row>
    <row r="33" spans="1:4" x14ac:dyDescent="0.2">
      <c r="A33" s="2" t="s">
        <v>51</v>
      </c>
      <c r="B33" s="2" t="s">
        <v>13</v>
      </c>
      <c r="C33" s="9">
        <f>'Despesa - Access'!F17</f>
        <v>151819.91</v>
      </c>
    </row>
    <row r="34" spans="1:4" ht="63.75" x14ac:dyDescent="0.2">
      <c r="A34" s="6" t="s">
        <v>52</v>
      </c>
      <c r="B34" s="7" t="s">
        <v>275</v>
      </c>
      <c r="C34" s="9">
        <f>'Despesa - Access'!F18</f>
        <v>82844.05</v>
      </c>
    </row>
    <row r="35" spans="1:4" x14ac:dyDescent="0.2">
      <c r="A35" s="2" t="s">
        <v>53</v>
      </c>
      <c r="B35" s="2" t="s">
        <v>14</v>
      </c>
      <c r="C35" s="9">
        <f>'Despesa - Access'!F19</f>
        <v>7502.14</v>
      </c>
    </row>
    <row r="36" spans="1:4" x14ac:dyDescent="0.2">
      <c r="A36" s="2" t="s">
        <v>54</v>
      </c>
      <c r="B36" s="2" t="s">
        <v>267</v>
      </c>
      <c r="C36" s="9">
        <f>'Despesa - Access'!F20</f>
        <v>2381463.65</v>
      </c>
    </row>
    <row r="37" spans="1:4" x14ac:dyDescent="0.2">
      <c r="A37" s="2" t="s">
        <v>55</v>
      </c>
      <c r="B37" s="2" t="s">
        <v>15</v>
      </c>
      <c r="C37" s="9">
        <f>'Despesa - Access'!F21</f>
        <v>302.72000000000003</v>
      </c>
    </row>
    <row r="38" spans="1:4" ht="25.5" x14ac:dyDescent="0.2">
      <c r="A38" s="6" t="s">
        <v>56</v>
      </c>
      <c r="B38" s="26" t="s">
        <v>68</v>
      </c>
      <c r="C38" s="9">
        <f>'Despesa - Access'!F22</f>
        <v>722575.08</v>
      </c>
    </row>
    <row r="39" spans="1:4" x14ac:dyDescent="0.2">
      <c r="A39" s="2" t="s">
        <v>57</v>
      </c>
      <c r="B39" s="2" t="s">
        <v>16</v>
      </c>
      <c r="C39" s="9">
        <f>'Despesa - Access'!F23</f>
        <v>3768</v>
      </c>
    </row>
    <row r="40" spans="1:4" x14ac:dyDescent="0.2">
      <c r="A40" s="2" t="s">
        <v>58</v>
      </c>
      <c r="B40" s="2" t="s">
        <v>17</v>
      </c>
      <c r="C40" s="9">
        <f>'Despesa - Access'!F24</f>
        <v>0</v>
      </c>
    </row>
    <row r="41" spans="1:4" x14ac:dyDescent="0.2">
      <c r="A41" s="2" t="s">
        <v>59</v>
      </c>
      <c r="B41" s="2" t="s">
        <v>18</v>
      </c>
      <c r="C41" s="9">
        <f>'Despesa - Access'!F25</f>
        <v>0</v>
      </c>
    </row>
    <row r="42" spans="1:4" x14ac:dyDescent="0.2">
      <c r="A42" s="2" t="s">
        <v>60</v>
      </c>
      <c r="B42" s="2" t="s">
        <v>19</v>
      </c>
      <c r="C42" s="9">
        <f>'Despesa - Access'!F26</f>
        <v>0</v>
      </c>
    </row>
    <row r="43" spans="1:4" x14ac:dyDescent="0.2">
      <c r="A43" s="2" t="s">
        <v>61</v>
      </c>
      <c r="B43" s="2" t="s">
        <v>20</v>
      </c>
      <c r="C43" s="9">
        <f>'Despesa - Access'!F27</f>
        <v>7856.64</v>
      </c>
    </row>
    <row r="44" spans="1:4" x14ac:dyDescent="0.2">
      <c r="A44" s="2" t="s">
        <v>62</v>
      </c>
      <c r="B44" s="2" t="s">
        <v>21</v>
      </c>
      <c r="C44" s="9">
        <f>'Despesa - Access'!F28</f>
        <v>0</v>
      </c>
    </row>
    <row r="45" spans="1:4" x14ac:dyDescent="0.2">
      <c r="A45" s="2" t="s">
        <v>63</v>
      </c>
      <c r="B45" s="2" t="s">
        <v>69</v>
      </c>
      <c r="C45" s="9">
        <f>'Despesa - Access'!F29</f>
        <v>500</v>
      </c>
    </row>
    <row r="46" spans="1:4" x14ac:dyDescent="0.2">
      <c r="A46" s="2" t="s">
        <v>64</v>
      </c>
      <c r="B46" s="2" t="s">
        <v>22</v>
      </c>
      <c r="C46" s="9">
        <f>'Despesa - Access'!F30</f>
        <v>0</v>
      </c>
    </row>
    <row r="47" spans="1:4" x14ac:dyDescent="0.2">
      <c r="A47" s="2" t="s">
        <v>65</v>
      </c>
      <c r="B47" s="2" t="s">
        <v>23</v>
      </c>
      <c r="C47" s="9">
        <f>'Despesa - Access'!F31</f>
        <v>5278893.53</v>
      </c>
    </row>
    <row r="48" spans="1:4" x14ac:dyDescent="0.2">
      <c r="A48" s="165" t="s">
        <v>70</v>
      </c>
      <c r="B48" s="165"/>
      <c r="C48" s="10">
        <f>SUM(C22:C47)</f>
        <v>20246973.150000006</v>
      </c>
      <c r="D48">
        <v>20246973.149999999</v>
      </c>
    </row>
    <row r="49" spans="1:4" x14ac:dyDescent="0.2">
      <c r="D49" s="8">
        <f>+D48-C48</f>
        <v>0</v>
      </c>
    </row>
    <row r="50" spans="1:4" x14ac:dyDescent="0.2">
      <c r="A50" s="4" t="s">
        <v>259</v>
      </c>
    </row>
    <row r="52" spans="1:4" x14ac:dyDescent="0.2">
      <c r="A52" s="3" t="s">
        <v>38</v>
      </c>
      <c r="B52" s="3" t="s">
        <v>39</v>
      </c>
      <c r="C52" s="11" t="s">
        <v>273</v>
      </c>
    </row>
    <row r="53" spans="1:4" x14ac:dyDescent="0.2">
      <c r="A53" s="2" t="s">
        <v>40</v>
      </c>
      <c r="B53" s="2" t="s">
        <v>25</v>
      </c>
      <c r="C53" s="9">
        <f>'Despesa - Access'!F32</f>
        <v>0</v>
      </c>
    </row>
    <row r="54" spans="1:4" x14ac:dyDescent="0.2">
      <c r="A54" s="2" t="s">
        <v>41</v>
      </c>
      <c r="B54" s="2" t="s">
        <v>26</v>
      </c>
      <c r="C54" s="9">
        <f>'Despesa - Access'!F33</f>
        <v>0</v>
      </c>
    </row>
    <row r="55" spans="1:4" x14ac:dyDescent="0.2">
      <c r="A55" s="2" t="s">
        <v>42</v>
      </c>
      <c r="B55" s="2" t="s">
        <v>66</v>
      </c>
      <c r="C55" s="9">
        <f>'Despesa - Access'!F34</f>
        <v>0</v>
      </c>
    </row>
    <row r="56" spans="1:4" x14ac:dyDescent="0.2">
      <c r="A56" s="2" t="s">
        <v>43</v>
      </c>
      <c r="B56" s="2" t="s">
        <v>27</v>
      </c>
      <c r="C56" s="9">
        <f>'Despesa - Access'!F35</f>
        <v>0</v>
      </c>
    </row>
    <row r="57" spans="1:4" x14ac:dyDescent="0.2">
      <c r="A57" s="2" t="s">
        <v>44</v>
      </c>
      <c r="B57" s="2" t="s">
        <v>28</v>
      </c>
      <c r="C57" s="9">
        <f>'Despesa - Access'!F36</f>
        <v>0</v>
      </c>
    </row>
    <row r="58" spans="1:4" x14ac:dyDescent="0.2">
      <c r="A58" s="165" t="s">
        <v>70</v>
      </c>
      <c r="B58" s="165"/>
      <c r="C58" s="10">
        <f>SUM(C53:C57)</f>
        <v>0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272</v>
      </c>
    </row>
    <row r="63" spans="1:4" x14ac:dyDescent="0.2">
      <c r="A63" s="2" t="s">
        <v>40</v>
      </c>
      <c r="B63" s="2" t="s">
        <v>30</v>
      </c>
      <c r="C63" s="9">
        <f>'Despesa - Access'!F37</f>
        <v>0</v>
      </c>
    </row>
    <row r="64" spans="1:4" x14ac:dyDescent="0.2">
      <c r="A64" s="2" t="s">
        <v>41</v>
      </c>
      <c r="B64" s="2" t="s">
        <v>31</v>
      </c>
      <c r="C64" s="9">
        <f>'Despesa - Access'!F38</f>
        <v>0</v>
      </c>
    </row>
    <row r="65" spans="1:6" x14ac:dyDescent="0.2">
      <c r="A65" s="165" t="s">
        <v>70</v>
      </c>
      <c r="B65" s="165"/>
      <c r="C65" s="10">
        <f>SUM(C63:C64)</f>
        <v>0</v>
      </c>
    </row>
    <row r="66" spans="1:6" x14ac:dyDescent="0.2">
      <c r="A66" s="154"/>
      <c r="B66" s="154"/>
      <c r="C66" s="154"/>
    </row>
    <row r="67" spans="1:6" x14ac:dyDescent="0.2">
      <c r="A67" s="4" t="s">
        <v>73</v>
      </c>
    </row>
    <row r="69" spans="1:6" x14ac:dyDescent="0.2">
      <c r="A69" s="3" t="s">
        <v>38</v>
      </c>
      <c r="B69" s="3" t="s">
        <v>39</v>
      </c>
      <c r="C69" s="11" t="s">
        <v>272</v>
      </c>
    </row>
    <row r="70" spans="1:6" x14ac:dyDescent="0.2">
      <c r="A70" s="2" t="s">
        <v>40</v>
      </c>
      <c r="B70" s="2" t="s">
        <v>74</v>
      </c>
      <c r="C70" s="9">
        <f>'Financeiro - Access'!F2</f>
        <v>99952404.400000006</v>
      </c>
      <c r="D70" s="33">
        <v>99932366.489999995</v>
      </c>
      <c r="E70" s="33">
        <f>+D70-C70</f>
        <v>-20037.910000011325</v>
      </c>
      <c r="F70" s="33"/>
    </row>
    <row r="71" spans="1:6" x14ac:dyDescent="0.2">
      <c r="A71" s="2" t="s">
        <v>41</v>
      </c>
      <c r="B71" s="2" t="s">
        <v>75</v>
      </c>
      <c r="C71" s="9">
        <f>'Financeiro - Access'!F3</f>
        <v>23615374.579999998</v>
      </c>
      <c r="D71" s="33">
        <v>23636433.719999999</v>
      </c>
      <c r="E71" s="33">
        <f>+D71-C71</f>
        <v>21059.140000000596</v>
      </c>
      <c r="F71" s="33"/>
    </row>
    <row r="72" spans="1:6" x14ac:dyDescent="0.2">
      <c r="A72" s="2" t="s">
        <v>42</v>
      </c>
      <c r="B72" s="2" t="s">
        <v>180</v>
      </c>
      <c r="C72" s="9">
        <f>'Financeiro - Access'!F4</f>
        <v>0</v>
      </c>
    </row>
    <row r="73" spans="1:6" x14ac:dyDescent="0.2">
      <c r="A73" s="2" t="s">
        <v>43</v>
      </c>
      <c r="B73" s="2" t="s">
        <v>268</v>
      </c>
      <c r="C73" s="9">
        <f>'Financeiro - Access'!F5</f>
        <v>0</v>
      </c>
    </row>
    <row r="74" spans="1:6" x14ac:dyDescent="0.2">
      <c r="A74" s="165" t="s">
        <v>70</v>
      </c>
      <c r="B74" s="165"/>
      <c r="C74" s="10">
        <f>SUM(C70:C73)</f>
        <v>123567778.98</v>
      </c>
    </row>
    <row r="76" spans="1:6" x14ac:dyDescent="0.2">
      <c r="A76" s="4" t="s">
        <v>252</v>
      </c>
    </row>
    <row r="78" spans="1:6" x14ac:dyDescent="0.2">
      <c r="A78" s="3" t="s">
        <v>38</v>
      </c>
      <c r="B78" s="3" t="s">
        <v>39</v>
      </c>
      <c r="C78" s="11" t="s">
        <v>272</v>
      </c>
    </row>
    <row r="79" spans="1:6" x14ac:dyDescent="0.2">
      <c r="A79" s="2" t="s">
        <v>40</v>
      </c>
      <c r="B79" s="2" t="s">
        <v>269</v>
      </c>
      <c r="C79" s="9"/>
    </row>
    <row r="80" spans="1:6" x14ac:dyDescent="0.2">
      <c r="A80" s="2" t="s">
        <v>41</v>
      </c>
      <c r="B80" s="2" t="s">
        <v>270</v>
      </c>
      <c r="C80" s="9"/>
    </row>
    <row r="81" spans="1:5" x14ac:dyDescent="0.2">
      <c r="A81" s="2" t="s">
        <v>42</v>
      </c>
      <c r="B81" s="2" t="s">
        <v>271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5" t="s">
        <v>70</v>
      </c>
      <c r="B83" s="165"/>
      <c r="C83" s="10">
        <f>SUM(C79:C82)</f>
        <v>0</v>
      </c>
    </row>
    <row r="84" spans="1:5" x14ac:dyDescent="0.2">
      <c r="A84" s="169" t="s">
        <v>323</v>
      </c>
      <c r="B84" s="169"/>
      <c r="C84" s="169"/>
    </row>
    <row r="85" spans="1:5" x14ac:dyDescent="0.2">
      <c r="A85" s="167" t="s">
        <v>389</v>
      </c>
      <c r="B85" s="168"/>
      <c r="C85" s="168"/>
    </row>
    <row r="86" spans="1:5" x14ac:dyDescent="0.2">
      <c r="A86" s="167" t="s">
        <v>381</v>
      </c>
      <c r="B86" s="168"/>
      <c r="C86" s="168"/>
    </row>
    <row r="87" spans="1:5" x14ac:dyDescent="0.2">
      <c r="A87" s="157" t="s">
        <v>98</v>
      </c>
      <c r="B87" s="157"/>
      <c r="C87" s="157"/>
      <c r="D87" s="157"/>
      <c r="E87" s="157"/>
    </row>
    <row r="88" spans="1:5" x14ac:dyDescent="0.2">
      <c r="A88" s="25"/>
      <c r="B88" s="25"/>
      <c r="C88" s="25"/>
    </row>
    <row r="89" spans="1:5" x14ac:dyDescent="0.2">
      <c r="C89" s="11" t="s">
        <v>100</v>
      </c>
      <c r="D89" s="3" t="s">
        <v>99</v>
      </c>
      <c r="E89" s="3" t="s">
        <v>70</v>
      </c>
    </row>
    <row r="90" spans="1:5" x14ac:dyDescent="0.2">
      <c r="A90" s="155"/>
      <c r="B90" s="156"/>
      <c r="C90" s="9">
        <v>0</v>
      </c>
      <c r="D90" s="9">
        <f>'Anexo I - Jan'!C89</f>
        <v>0</v>
      </c>
      <c r="E90" s="9">
        <f>C90-D90</f>
        <v>0</v>
      </c>
    </row>
    <row r="91" spans="1:5" x14ac:dyDescent="0.2">
      <c r="A91" s="155" t="s">
        <v>366</v>
      </c>
      <c r="B91" s="156"/>
      <c r="C91" s="9">
        <v>266796424.99000001</v>
      </c>
      <c r="D91" s="9">
        <f>'Anexo I - Jan'!C90</f>
        <v>146608943.28</v>
      </c>
      <c r="E91" s="9">
        <f>C91-D91</f>
        <v>120187481.71000001</v>
      </c>
    </row>
    <row r="92" spans="1:5" x14ac:dyDescent="0.2">
      <c r="A92" s="155" t="s">
        <v>125</v>
      </c>
      <c r="B92" s="156"/>
      <c r="C92" s="9">
        <v>0</v>
      </c>
      <c r="D92" s="9">
        <f>'Anexo I - Jan'!C91</f>
        <v>0</v>
      </c>
      <c r="E92" s="9">
        <f>C92-D92</f>
        <v>0</v>
      </c>
    </row>
    <row r="93" spans="1:5" x14ac:dyDescent="0.2">
      <c r="A93" s="163" t="s">
        <v>96</v>
      </c>
      <c r="B93" s="163"/>
      <c r="C93" s="163"/>
      <c r="D93" s="163"/>
      <c r="E93" s="27">
        <f>SUM(E90:E92)</f>
        <v>120187481.71000001</v>
      </c>
    </row>
    <row r="94" spans="1:5" x14ac:dyDescent="0.2">
      <c r="A94" s="163" t="s">
        <v>97</v>
      </c>
      <c r="B94" s="163"/>
      <c r="C94" s="163"/>
      <c r="D94" s="163"/>
      <c r="E94" s="27">
        <f>$C$17+$C$48+$C$58+$C$65</f>
        <v>120187481.71000001</v>
      </c>
    </row>
    <row r="96" spans="1:5" x14ac:dyDescent="0.2">
      <c r="D96" s="86" t="s">
        <v>278</v>
      </c>
      <c r="E96" s="91">
        <v>120187481.70999999</v>
      </c>
    </row>
    <row r="97" spans="3:6" x14ac:dyDescent="0.2">
      <c r="C97"/>
      <c r="E97" s="88" t="str">
        <f>IF(E93=E94,"despesa OK","DIFERENÇA")</f>
        <v>despesa OK</v>
      </c>
    </row>
    <row r="98" spans="3:6" x14ac:dyDescent="0.2">
      <c r="E98" s="8">
        <f>E94-E96</f>
        <v>0</v>
      </c>
      <c r="F98" s="90" t="s">
        <v>362</v>
      </c>
    </row>
    <row r="100" spans="3:6" x14ac:dyDescent="0.2">
      <c r="E100" s="8"/>
    </row>
  </sheetData>
  <mergeCells count="23">
    <mergeCell ref="A86:C86"/>
    <mergeCell ref="A85:C85"/>
    <mergeCell ref="A83:B83"/>
    <mergeCell ref="A48:B48"/>
    <mergeCell ref="A58:B58"/>
    <mergeCell ref="A65:B65"/>
    <mergeCell ref="A74:B74"/>
    <mergeCell ref="A66:C66"/>
    <mergeCell ref="A84:C84"/>
    <mergeCell ref="A93:D93"/>
    <mergeCell ref="A94:D94"/>
    <mergeCell ref="A87:E87"/>
    <mergeCell ref="A90:B90"/>
    <mergeCell ref="A91:B91"/>
    <mergeCell ref="A92:B92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"/>
  <sheetViews>
    <sheetView workbookViewId="0">
      <selection activeCell="F11" sqref="F11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H25"/>
  <sheetViews>
    <sheetView workbookViewId="0">
      <selection activeCell="A34" sqref="A34"/>
    </sheetView>
  </sheetViews>
  <sheetFormatPr defaultRowHeight="12.75" x14ac:dyDescent="0.2"/>
  <cols>
    <col min="1" max="1" width="35" bestFit="1" customWidth="1"/>
    <col min="2" max="2" width="11.7109375" bestFit="1" customWidth="1"/>
    <col min="3" max="3" width="22.85546875" bestFit="1" customWidth="1"/>
    <col min="4" max="4" width="10.140625" bestFit="1" customWidth="1"/>
    <col min="5" max="5" width="19.7109375" bestFit="1" customWidth="1"/>
    <col min="7" max="7" width="30.5703125" bestFit="1" customWidth="1"/>
    <col min="8" max="8" width="10.140625" bestFit="1" customWidth="1"/>
  </cols>
  <sheetData>
    <row r="1" spans="1:8" ht="14.25" thickTop="1" thickBot="1" x14ac:dyDescent="0.25">
      <c r="A1" s="72" t="s">
        <v>241</v>
      </c>
      <c r="B1" s="73"/>
      <c r="C1" s="74" t="s">
        <v>242</v>
      </c>
      <c r="D1" s="75"/>
      <c r="E1" s="76" t="s">
        <v>243</v>
      </c>
      <c r="F1" s="77"/>
      <c r="G1" s="74" t="s">
        <v>244</v>
      </c>
      <c r="H1" s="75"/>
    </row>
    <row r="2" spans="1:8" ht="14.25" thickTop="1" thickBot="1" x14ac:dyDescent="0.25">
      <c r="A2" s="78" t="s">
        <v>245</v>
      </c>
      <c r="B2" s="78" t="s">
        <v>246</v>
      </c>
      <c r="C2" s="79" t="s">
        <v>247</v>
      </c>
      <c r="D2" s="79" t="s">
        <v>246</v>
      </c>
      <c r="E2" s="80" t="s">
        <v>248</v>
      </c>
      <c r="F2" s="80" t="s">
        <v>246</v>
      </c>
      <c r="G2" s="79" t="s">
        <v>249</v>
      </c>
      <c r="H2" s="79" t="s">
        <v>246</v>
      </c>
    </row>
    <row r="3" spans="1:8" ht="14.25" thickTop="1" thickBot="1" x14ac:dyDescent="0.25">
      <c r="A3" s="73" t="s">
        <v>99</v>
      </c>
      <c r="B3" s="81"/>
      <c r="C3" s="79" t="s">
        <v>99</v>
      </c>
      <c r="D3" s="82"/>
      <c r="E3" s="80" t="s">
        <v>99</v>
      </c>
      <c r="F3" s="83">
        <v>0</v>
      </c>
      <c r="G3" s="79" t="s">
        <v>99</v>
      </c>
      <c r="H3" s="82">
        <v>0</v>
      </c>
    </row>
    <row r="4" spans="1:8" ht="14.25" thickTop="1" thickBot="1" x14ac:dyDescent="0.25">
      <c r="A4" s="73" t="s">
        <v>100</v>
      </c>
      <c r="B4" s="81"/>
      <c r="C4" s="79" t="s">
        <v>100</v>
      </c>
      <c r="D4" s="82"/>
      <c r="E4" s="80" t="s">
        <v>100</v>
      </c>
      <c r="F4" s="83">
        <v>0</v>
      </c>
      <c r="G4" s="79" t="s">
        <v>100</v>
      </c>
      <c r="H4" s="82">
        <v>0</v>
      </c>
    </row>
    <row r="5" spans="1:8" ht="14.25" thickTop="1" thickBot="1" x14ac:dyDescent="0.25">
      <c r="A5" s="73"/>
      <c r="B5" s="81"/>
      <c r="C5" s="79"/>
      <c r="D5" s="82"/>
      <c r="E5" s="80"/>
      <c r="F5" s="83"/>
      <c r="G5" s="79"/>
      <c r="H5" s="82"/>
    </row>
    <row r="6" spans="1:8" ht="14.25" thickTop="1" thickBot="1" x14ac:dyDescent="0.25">
      <c r="A6" s="73"/>
      <c r="B6" s="81"/>
      <c r="C6" s="79"/>
      <c r="D6" s="82"/>
      <c r="E6" s="80"/>
      <c r="F6" s="83"/>
      <c r="G6" s="79"/>
      <c r="H6" s="82"/>
    </row>
    <row r="7" spans="1:8" ht="14.25" thickTop="1" thickBot="1" x14ac:dyDescent="0.25">
      <c r="A7" s="73"/>
      <c r="B7" s="81"/>
      <c r="C7" s="79"/>
      <c r="D7" s="82"/>
      <c r="E7" s="80"/>
      <c r="F7" s="83"/>
      <c r="G7" s="79"/>
      <c r="H7" s="82"/>
    </row>
    <row r="8" spans="1:8" ht="14.25" thickTop="1" thickBot="1" x14ac:dyDescent="0.25">
      <c r="A8" s="73"/>
      <c r="B8" s="81"/>
      <c r="C8" s="79"/>
      <c r="D8" s="82"/>
      <c r="E8" s="80"/>
      <c r="F8" s="83"/>
      <c r="G8" s="79"/>
      <c r="H8" s="82"/>
    </row>
    <row r="9" spans="1:8" ht="14.25" thickTop="1" thickBot="1" x14ac:dyDescent="0.25">
      <c r="A9" s="73"/>
      <c r="B9" s="81"/>
      <c r="C9" s="79"/>
      <c r="D9" s="82"/>
      <c r="E9" s="80"/>
      <c r="F9" s="83"/>
      <c r="G9" s="79"/>
      <c r="H9" s="82"/>
    </row>
    <row r="10" spans="1:8" ht="14.25" thickTop="1" thickBot="1" x14ac:dyDescent="0.25">
      <c r="A10" s="73"/>
      <c r="B10" s="81"/>
      <c r="C10" s="79"/>
      <c r="D10" s="82"/>
      <c r="E10" s="80"/>
      <c r="F10" s="83"/>
      <c r="G10" s="79"/>
      <c r="H10" s="82"/>
    </row>
    <row r="11" spans="1:8" ht="14.25" thickTop="1" thickBot="1" x14ac:dyDescent="0.25">
      <c r="A11" s="73"/>
      <c r="B11" s="81"/>
      <c r="C11" s="79"/>
      <c r="D11" s="82"/>
      <c r="E11" s="80"/>
      <c r="F11" s="83"/>
      <c r="G11" s="79"/>
      <c r="H11" s="82"/>
    </row>
    <row r="12" spans="1:8" ht="14.25" thickTop="1" thickBot="1" x14ac:dyDescent="0.25">
      <c r="A12" s="73"/>
      <c r="B12" s="81"/>
      <c r="C12" s="79"/>
      <c r="D12" s="82"/>
      <c r="E12" s="80"/>
      <c r="F12" s="83"/>
      <c r="G12" s="79"/>
      <c r="H12" s="82"/>
    </row>
    <row r="13" spans="1:8" ht="14.25" thickTop="1" thickBot="1" x14ac:dyDescent="0.25">
      <c r="A13" s="73"/>
      <c r="B13" s="81"/>
      <c r="C13" s="79"/>
      <c r="D13" s="82"/>
      <c r="E13" s="80"/>
      <c r="F13" s="83"/>
      <c r="G13" s="79"/>
      <c r="H13" s="82"/>
    </row>
    <row r="14" spans="1:8" ht="14.25" thickTop="1" thickBot="1" x14ac:dyDescent="0.25">
      <c r="A14" s="73"/>
      <c r="B14" s="81"/>
      <c r="C14" s="79"/>
      <c r="D14" s="82"/>
      <c r="E14" s="80"/>
      <c r="F14" s="83"/>
      <c r="G14" s="79"/>
      <c r="H14" s="82"/>
    </row>
    <row r="15" spans="1:8" ht="14.25" thickTop="1" thickBot="1" x14ac:dyDescent="0.25">
      <c r="A15" s="73" t="s">
        <v>70</v>
      </c>
      <c r="B15" s="81">
        <f>SUM(B3:B14)</f>
        <v>0</v>
      </c>
      <c r="C15" s="75" t="s">
        <v>70</v>
      </c>
      <c r="D15" s="82">
        <f>SUM(D3:D14)</f>
        <v>0</v>
      </c>
      <c r="E15" s="80" t="s">
        <v>70</v>
      </c>
      <c r="F15" s="83">
        <f>SUM(F3:F14)</f>
        <v>0</v>
      </c>
      <c r="G15" s="79" t="s">
        <v>70</v>
      </c>
      <c r="H15" s="82">
        <f>SUM(H3:H14)</f>
        <v>0</v>
      </c>
    </row>
    <row r="16" spans="1:8" ht="14.25" thickTop="1" thickBot="1" x14ac:dyDescent="0.25">
      <c r="A16" s="73"/>
      <c r="B16" s="81"/>
      <c r="C16" s="75"/>
      <c r="D16" s="82"/>
      <c r="E16" s="77"/>
      <c r="F16" s="83"/>
      <c r="G16" s="75"/>
      <c r="H16" s="82"/>
    </row>
    <row r="17" spans="1:8" ht="13.5" thickTop="1" x14ac:dyDescent="0.2">
      <c r="B17" s="8"/>
      <c r="D17" s="8"/>
      <c r="F17" s="8"/>
      <c r="H17" s="8"/>
    </row>
    <row r="18" spans="1:8" x14ac:dyDescent="0.2">
      <c r="B18" s="8"/>
      <c r="D18" s="8"/>
      <c r="F18" s="8"/>
      <c r="H18" s="8"/>
    </row>
    <row r="19" spans="1:8" x14ac:dyDescent="0.2">
      <c r="A19" t="s">
        <v>250</v>
      </c>
      <c r="B19" s="8">
        <f>SUM(B15,D15,F15,H15)</f>
        <v>0</v>
      </c>
      <c r="D19" s="8"/>
      <c r="F19" s="8"/>
      <c r="H19" s="8"/>
    </row>
    <row r="20" spans="1:8" x14ac:dyDescent="0.2">
      <c r="D20" s="8"/>
      <c r="F20" s="8"/>
      <c r="H20" s="8"/>
    </row>
    <row r="21" spans="1:8" x14ac:dyDescent="0.2">
      <c r="F21" s="8"/>
      <c r="H21" s="8"/>
    </row>
    <row r="22" spans="1:8" x14ac:dyDescent="0.2">
      <c r="H22" s="8"/>
    </row>
    <row r="23" spans="1:8" x14ac:dyDescent="0.2">
      <c r="H23" s="8"/>
    </row>
    <row r="24" spans="1:8" x14ac:dyDescent="0.2">
      <c r="H24" s="8"/>
    </row>
    <row r="25" spans="1:8" x14ac:dyDescent="0.2">
      <c r="H25" s="8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F98"/>
  <sheetViews>
    <sheetView showGridLines="0" view="pageBreakPreview" topLeftCell="A71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33" customWidth="1"/>
    <col min="6" max="6" width="13.42578125" bestFit="1" customWidth="1"/>
  </cols>
  <sheetData>
    <row r="1" spans="1:3" x14ac:dyDescent="0.2">
      <c r="A1" s="164" t="s">
        <v>254</v>
      </c>
      <c r="B1" s="164"/>
      <c r="C1" s="164"/>
    </row>
    <row r="3" spans="1:3" x14ac:dyDescent="0.2">
      <c r="A3" s="2" t="s">
        <v>32</v>
      </c>
      <c r="B3" s="163" t="s">
        <v>255</v>
      </c>
      <c r="C3" s="163"/>
    </row>
    <row r="4" spans="1:3" x14ac:dyDescent="0.2">
      <c r="A4" s="2" t="s">
        <v>33</v>
      </c>
      <c r="B4" s="163" t="s">
        <v>256</v>
      </c>
      <c r="C4" s="163"/>
    </row>
    <row r="5" spans="1:3" x14ac:dyDescent="0.2">
      <c r="A5" s="2" t="s">
        <v>34</v>
      </c>
      <c r="B5" s="163" t="s">
        <v>367</v>
      </c>
      <c r="C5" s="163"/>
    </row>
    <row r="6" spans="1:3" x14ac:dyDescent="0.2">
      <c r="A6" s="2" t="s">
        <v>35</v>
      </c>
      <c r="B6" s="163" t="s">
        <v>257</v>
      </c>
      <c r="C6" s="163"/>
    </row>
    <row r="7" spans="1:3" x14ac:dyDescent="0.2">
      <c r="A7" s="2" t="s">
        <v>36</v>
      </c>
      <c r="B7" s="160" t="s">
        <v>379</v>
      </c>
      <c r="C7" s="161"/>
    </row>
    <row r="8" spans="1:3" x14ac:dyDescent="0.2">
      <c r="A8" s="2" t="s">
        <v>37</v>
      </c>
      <c r="B8" s="162">
        <v>42844</v>
      </c>
      <c r="C8" s="163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Access'!G2</f>
        <v>71728141.180000007</v>
      </c>
    </row>
    <row r="14" spans="1:3" x14ac:dyDescent="0.2">
      <c r="A14" s="2" t="s">
        <v>41</v>
      </c>
      <c r="B14" s="5" t="s">
        <v>2</v>
      </c>
      <c r="C14" s="10">
        <f>'Despesa - Access'!G3</f>
        <v>13483902.73</v>
      </c>
    </row>
    <row r="15" spans="1:3" x14ac:dyDescent="0.2">
      <c r="A15" s="2" t="s">
        <v>42</v>
      </c>
      <c r="B15" s="5" t="s">
        <v>266</v>
      </c>
      <c r="C15" s="10">
        <f>'Despesa - Access'!G4</f>
        <v>13290431.279999999</v>
      </c>
    </row>
    <row r="16" spans="1:3" ht="51" x14ac:dyDescent="0.2">
      <c r="A16" s="6" t="s">
        <v>43</v>
      </c>
      <c r="B16" s="5" t="s">
        <v>274</v>
      </c>
      <c r="C16" s="10">
        <v>44017.63</v>
      </c>
    </row>
    <row r="17" spans="1:5" x14ac:dyDescent="0.2">
      <c r="A17" s="165" t="s">
        <v>70</v>
      </c>
      <c r="B17" s="165"/>
      <c r="C17" s="10">
        <f>SUM(C13:C16)</f>
        <v>98546492.820000008</v>
      </c>
      <c r="D17" s="33">
        <v>98502475.189999998</v>
      </c>
      <c r="E17" s="33">
        <f>+C17-D17</f>
        <v>44017.630000010133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273</v>
      </c>
    </row>
    <row r="22" spans="1:5" x14ac:dyDescent="0.2">
      <c r="A22" s="2" t="s">
        <v>40</v>
      </c>
      <c r="B22" s="2" t="s">
        <v>3</v>
      </c>
      <c r="C22" s="9">
        <f>'Despesa - Access'!G6</f>
        <v>125623.96</v>
      </c>
    </row>
    <row r="23" spans="1:5" x14ac:dyDescent="0.2">
      <c r="A23" s="2" t="s">
        <v>41</v>
      </c>
      <c r="B23" s="2" t="s">
        <v>4</v>
      </c>
      <c r="C23" s="9">
        <f>'Despesa - Access'!G7</f>
        <v>4033100.17</v>
      </c>
    </row>
    <row r="24" spans="1:5" x14ac:dyDescent="0.2">
      <c r="A24" s="2" t="s">
        <v>42</v>
      </c>
      <c r="B24" s="2" t="s">
        <v>5</v>
      </c>
      <c r="C24" s="9">
        <f>'Despesa - Access'!G8</f>
        <v>551511</v>
      </c>
    </row>
    <row r="25" spans="1:5" x14ac:dyDescent="0.2">
      <c r="A25" s="2" t="s">
        <v>43</v>
      </c>
      <c r="B25" s="2" t="s">
        <v>6</v>
      </c>
      <c r="C25" s="9">
        <f>'Despesa - Access'!G9</f>
        <v>2206466.29</v>
      </c>
    </row>
    <row r="26" spans="1:5" x14ac:dyDescent="0.2">
      <c r="A26" s="2" t="s">
        <v>44</v>
      </c>
      <c r="B26" s="2" t="s">
        <v>7</v>
      </c>
      <c r="C26" s="9">
        <f>'Despesa - Access'!G10</f>
        <v>129804.51</v>
      </c>
    </row>
    <row r="27" spans="1:5" x14ac:dyDescent="0.2">
      <c r="A27" s="2" t="s">
        <v>45</v>
      </c>
      <c r="B27" s="2" t="s">
        <v>67</v>
      </c>
      <c r="C27" s="9">
        <f>'Despesa - Access'!G11</f>
        <v>18718.68</v>
      </c>
    </row>
    <row r="28" spans="1:5" x14ac:dyDescent="0.2">
      <c r="A28" s="2" t="s">
        <v>46</v>
      </c>
      <c r="B28" s="2" t="s">
        <v>8</v>
      </c>
      <c r="C28" s="9">
        <f>'Despesa - Access'!G12</f>
        <v>2052762.91</v>
      </c>
    </row>
    <row r="29" spans="1:5" x14ac:dyDescent="0.2">
      <c r="A29" s="2" t="s">
        <v>47</v>
      </c>
      <c r="B29" s="2" t="s">
        <v>9</v>
      </c>
      <c r="C29" s="9">
        <f>'Despesa - Access'!G13</f>
        <v>2559960.85</v>
      </c>
    </row>
    <row r="30" spans="1:5" x14ac:dyDescent="0.2">
      <c r="A30" s="2" t="s">
        <v>48</v>
      </c>
      <c r="B30" s="2" t="s">
        <v>10</v>
      </c>
      <c r="C30" s="9">
        <f>'Despesa - Access'!G14</f>
        <v>183813.6</v>
      </c>
    </row>
    <row r="31" spans="1:5" x14ac:dyDescent="0.2">
      <c r="A31" s="2" t="s">
        <v>49</v>
      </c>
      <c r="B31" s="2" t="s">
        <v>11</v>
      </c>
      <c r="C31" s="9">
        <f>'Despesa - Access'!G15</f>
        <v>756953.3</v>
      </c>
    </row>
    <row r="32" spans="1:5" x14ac:dyDescent="0.2">
      <c r="A32" s="2" t="s">
        <v>50</v>
      </c>
      <c r="B32" s="2" t="s">
        <v>12</v>
      </c>
      <c r="C32" s="9">
        <f>'Despesa - Access'!G16</f>
        <v>133870.19</v>
      </c>
    </row>
    <row r="33" spans="1:5" x14ac:dyDescent="0.2">
      <c r="A33" s="2" t="s">
        <v>51</v>
      </c>
      <c r="B33" s="2" t="s">
        <v>13</v>
      </c>
      <c r="C33" s="9">
        <f>'Despesa - Access'!G17</f>
        <v>1113529.55</v>
      </c>
    </row>
    <row r="34" spans="1:5" ht="63.75" x14ac:dyDescent="0.2">
      <c r="A34" s="6" t="s">
        <v>52</v>
      </c>
      <c r="B34" s="7" t="s">
        <v>275</v>
      </c>
      <c r="C34" s="9">
        <f>'Despesa - Access'!G18</f>
        <v>615904.99</v>
      </c>
    </row>
    <row r="35" spans="1:5" x14ac:dyDescent="0.2">
      <c r="A35" s="2" t="s">
        <v>53</v>
      </c>
      <c r="B35" s="2" t="s">
        <v>14</v>
      </c>
      <c r="C35" s="9">
        <f>'Despesa - Access'!G19</f>
        <v>1128681.95</v>
      </c>
    </row>
    <row r="36" spans="1:5" x14ac:dyDescent="0.2">
      <c r="A36" s="2" t="s">
        <v>54</v>
      </c>
      <c r="B36" s="2" t="s">
        <v>267</v>
      </c>
      <c r="C36" s="9">
        <f>'Despesa - Access'!G20</f>
        <v>2366641.0099999998</v>
      </c>
    </row>
    <row r="37" spans="1:5" x14ac:dyDescent="0.2">
      <c r="A37" s="2" t="s">
        <v>55</v>
      </c>
      <c r="B37" s="2" t="s">
        <v>15</v>
      </c>
      <c r="C37" s="9">
        <f>'Despesa - Access'!G21</f>
        <v>8202.41</v>
      </c>
    </row>
    <row r="38" spans="1:5" ht="25.5" x14ac:dyDescent="0.2">
      <c r="A38" s="6" t="s">
        <v>56</v>
      </c>
      <c r="B38" s="26" t="s">
        <v>68</v>
      </c>
      <c r="C38" s="9">
        <f>'Despesa - Access'!G22</f>
        <v>374809.06</v>
      </c>
    </row>
    <row r="39" spans="1:5" x14ac:dyDescent="0.2">
      <c r="A39" s="2" t="s">
        <v>57</v>
      </c>
      <c r="B39" s="2" t="s">
        <v>16</v>
      </c>
      <c r="C39" s="9">
        <f>'Despesa - Access'!G23</f>
        <v>19133.3</v>
      </c>
    </row>
    <row r="40" spans="1:5" x14ac:dyDescent="0.2">
      <c r="A40" s="2" t="s">
        <v>58</v>
      </c>
      <c r="B40" s="2" t="s">
        <v>17</v>
      </c>
      <c r="C40" s="9">
        <f>'Despesa - Access'!G24</f>
        <v>400.55</v>
      </c>
    </row>
    <row r="41" spans="1:5" x14ac:dyDescent="0.2">
      <c r="A41" s="2" t="s">
        <v>59</v>
      </c>
      <c r="B41" s="2" t="s">
        <v>18</v>
      </c>
      <c r="C41" s="9">
        <f>'Despesa - Access'!G25</f>
        <v>0</v>
      </c>
    </row>
    <row r="42" spans="1:5" x14ac:dyDescent="0.2">
      <c r="A42" s="2" t="s">
        <v>60</v>
      </c>
      <c r="B42" s="2" t="s">
        <v>19</v>
      </c>
      <c r="C42" s="9">
        <f>'Despesa - Access'!G26</f>
        <v>5600</v>
      </c>
    </row>
    <row r="43" spans="1:5" x14ac:dyDescent="0.2">
      <c r="A43" s="2" t="s">
        <v>61</v>
      </c>
      <c r="B43" s="2" t="s">
        <v>20</v>
      </c>
      <c r="C43" s="9">
        <f>'Despesa - Access'!G27</f>
        <v>11173.01</v>
      </c>
    </row>
    <row r="44" spans="1:5" x14ac:dyDescent="0.2">
      <c r="A44" s="2" t="s">
        <v>62</v>
      </c>
      <c r="B44" s="2" t="s">
        <v>21</v>
      </c>
      <c r="C44" s="9">
        <f>'Despesa - Access'!G28</f>
        <v>0</v>
      </c>
    </row>
    <row r="45" spans="1:5" x14ac:dyDescent="0.2">
      <c r="A45" s="2" t="s">
        <v>63</v>
      </c>
      <c r="B45" s="2" t="s">
        <v>69</v>
      </c>
      <c r="C45" s="9">
        <f>'Despesa - Access'!G29</f>
        <v>12204.88</v>
      </c>
    </row>
    <row r="46" spans="1:5" x14ac:dyDescent="0.2">
      <c r="A46" s="2" t="s">
        <v>64</v>
      </c>
      <c r="B46" s="2" t="s">
        <v>22</v>
      </c>
      <c r="C46" s="9">
        <f>'Despesa - Access'!G30</f>
        <v>0</v>
      </c>
    </row>
    <row r="47" spans="1:5" x14ac:dyDescent="0.2">
      <c r="A47" s="2" t="s">
        <v>65</v>
      </c>
      <c r="B47" s="2" t="s">
        <v>23</v>
      </c>
      <c r="C47" s="9">
        <f>'Despesa - Access'!G31</f>
        <v>6122112.2199999997</v>
      </c>
    </row>
    <row r="48" spans="1:5" x14ac:dyDescent="0.2">
      <c r="A48" s="165" t="s">
        <v>70</v>
      </c>
      <c r="B48" s="165"/>
      <c r="C48" s="10">
        <f>SUM(C22:C47)</f>
        <v>24530978.390000001</v>
      </c>
      <c r="D48" s="33">
        <v>24530978.390000001</v>
      </c>
      <c r="E48" s="33">
        <f>+C48-D48</f>
        <v>0</v>
      </c>
    </row>
    <row r="50" spans="1:3" x14ac:dyDescent="0.2">
      <c r="A50" s="4" t="s">
        <v>259</v>
      </c>
    </row>
    <row r="52" spans="1:3" x14ac:dyDescent="0.2">
      <c r="A52" s="3" t="s">
        <v>38</v>
      </c>
      <c r="B52" s="3" t="s">
        <v>39</v>
      </c>
      <c r="C52" s="11" t="s">
        <v>273</v>
      </c>
    </row>
    <row r="53" spans="1:3" x14ac:dyDescent="0.2">
      <c r="A53" s="2" t="s">
        <v>40</v>
      </c>
      <c r="B53" s="2" t="s">
        <v>25</v>
      </c>
      <c r="C53" s="9">
        <f>'Despesa - Access'!G32</f>
        <v>0</v>
      </c>
    </row>
    <row r="54" spans="1:3" x14ac:dyDescent="0.2">
      <c r="A54" s="2" t="s">
        <v>41</v>
      </c>
      <c r="B54" s="2" t="s">
        <v>26</v>
      </c>
      <c r="C54" s="9">
        <f>'Despesa - Access'!G33</f>
        <v>0</v>
      </c>
    </row>
    <row r="55" spans="1:3" x14ac:dyDescent="0.2">
      <c r="A55" s="2" t="s">
        <v>42</v>
      </c>
      <c r="B55" s="2" t="s">
        <v>66</v>
      </c>
      <c r="C55" s="9">
        <f>'Despesa - Access'!G34</f>
        <v>0</v>
      </c>
    </row>
    <row r="56" spans="1:3" x14ac:dyDescent="0.2">
      <c r="A56" s="2" t="s">
        <v>43</v>
      </c>
      <c r="B56" s="2" t="s">
        <v>27</v>
      </c>
      <c r="C56" s="9">
        <f>'Despesa - Access'!G35</f>
        <v>0</v>
      </c>
    </row>
    <row r="57" spans="1:3" x14ac:dyDescent="0.2">
      <c r="A57" s="2" t="s">
        <v>44</v>
      </c>
      <c r="B57" s="2" t="s">
        <v>28</v>
      </c>
      <c r="C57" s="9">
        <f>'Despesa - Access'!G36</f>
        <v>0</v>
      </c>
    </row>
    <row r="58" spans="1:3" x14ac:dyDescent="0.2">
      <c r="A58" s="165" t="s">
        <v>70</v>
      </c>
      <c r="B58" s="165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265</v>
      </c>
    </row>
    <row r="63" spans="1:3" x14ac:dyDescent="0.2">
      <c r="A63" s="2" t="s">
        <v>40</v>
      </c>
      <c r="B63" s="2" t="s">
        <v>30</v>
      </c>
      <c r="C63" s="9">
        <f>'Despesa - Access'!G37</f>
        <v>0</v>
      </c>
    </row>
    <row r="64" spans="1:3" x14ac:dyDescent="0.2">
      <c r="A64" s="2" t="s">
        <v>41</v>
      </c>
      <c r="B64" s="2" t="s">
        <v>31</v>
      </c>
      <c r="C64" s="9">
        <f>'Despesa - Access'!G38</f>
        <v>0</v>
      </c>
    </row>
    <row r="65" spans="1:3" x14ac:dyDescent="0.2">
      <c r="A65" s="165" t="s">
        <v>70</v>
      </c>
      <c r="B65" s="165"/>
      <c r="C65" s="10">
        <f>SUM(C63:C64)</f>
        <v>0</v>
      </c>
    </row>
    <row r="66" spans="1:3" x14ac:dyDescent="0.2">
      <c r="A66" s="154"/>
      <c r="B66" s="154"/>
      <c r="C66" s="15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273</v>
      </c>
    </row>
    <row r="70" spans="1:3" x14ac:dyDescent="0.2">
      <c r="A70" s="2" t="s">
        <v>40</v>
      </c>
      <c r="B70" s="2" t="s">
        <v>74</v>
      </c>
      <c r="C70" s="9">
        <f>'Financeiro - Access'!G2</f>
        <v>98546270.730000004</v>
      </c>
    </row>
    <row r="71" spans="1:3" x14ac:dyDescent="0.2">
      <c r="A71" s="2" t="s">
        <v>41</v>
      </c>
      <c r="B71" s="2" t="s">
        <v>75</v>
      </c>
      <c r="C71" s="9">
        <f>'Financeiro - Access'!G3</f>
        <v>23607725.390000001</v>
      </c>
    </row>
    <row r="72" spans="1:3" x14ac:dyDescent="0.2">
      <c r="A72" s="2" t="s">
        <v>42</v>
      </c>
      <c r="B72" s="2" t="s">
        <v>180</v>
      </c>
      <c r="C72" s="9">
        <f>'Financeiro - Access'!G4</f>
        <v>0</v>
      </c>
    </row>
    <row r="73" spans="1:3" x14ac:dyDescent="0.2">
      <c r="A73" s="2" t="s">
        <v>43</v>
      </c>
      <c r="B73" s="2" t="s">
        <v>268</v>
      </c>
      <c r="C73" s="9">
        <f>'Financeiro - Access'!G5</f>
        <v>0</v>
      </c>
    </row>
    <row r="74" spans="1:3" x14ac:dyDescent="0.2">
      <c r="A74" s="165" t="s">
        <v>70</v>
      </c>
      <c r="B74" s="165"/>
      <c r="C74" s="10">
        <f>SUM(C70:C73)</f>
        <v>122153996.12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273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5" x14ac:dyDescent="0.2">
      <c r="A81" s="2" t="s">
        <v>42</v>
      </c>
      <c r="B81" s="2" t="s">
        <v>271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5" t="s">
        <v>70</v>
      </c>
      <c r="B83" s="165"/>
      <c r="C83" s="10">
        <f>SUM(C79:C82)</f>
        <v>0</v>
      </c>
    </row>
    <row r="84" spans="1:5" x14ac:dyDescent="0.2">
      <c r="A84" s="169" t="s">
        <v>323</v>
      </c>
      <c r="B84" s="169"/>
      <c r="C84" s="169"/>
    </row>
    <row r="85" spans="1:5" x14ac:dyDescent="0.2">
      <c r="A85" s="170" t="s">
        <v>389</v>
      </c>
      <c r="B85" s="170"/>
      <c r="C85" s="170"/>
    </row>
    <row r="86" spans="1:5" x14ac:dyDescent="0.2">
      <c r="A86" s="167"/>
      <c r="B86" s="168"/>
      <c r="C86" s="168"/>
    </row>
    <row r="87" spans="1:5" x14ac:dyDescent="0.2">
      <c r="A87" s="157" t="s">
        <v>98</v>
      </c>
      <c r="B87" s="157"/>
      <c r="C87" s="157"/>
      <c r="D87" s="157"/>
      <c r="E87" s="157"/>
    </row>
    <row r="88" spans="1:5" x14ac:dyDescent="0.2">
      <c r="A88" s="106"/>
      <c r="B88" s="106"/>
      <c r="C88" s="106"/>
      <c r="D88"/>
      <c r="E88"/>
    </row>
    <row r="89" spans="1:5" x14ac:dyDescent="0.2">
      <c r="C89" s="11" t="s">
        <v>101</v>
      </c>
      <c r="D89" s="3" t="s">
        <v>100</v>
      </c>
      <c r="E89" s="3" t="s">
        <v>70</v>
      </c>
    </row>
    <row r="90" spans="1:5" x14ac:dyDescent="0.2">
      <c r="A90" s="155"/>
      <c r="B90" s="156"/>
      <c r="C90" s="9">
        <v>0</v>
      </c>
      <c r="D90" s="9">
        <f>'Anexo I - Jan'!C89</f>
        <v>0</v>
      </c>
      <c r="E90" s="9">
        <f>C90-D90</f>
        <v>0</v>
      </c>
    </row>
    <row r="91" spans="1:5" x14ac:dyDescent="0.2">
      <c r="A91" s="155" t="s">
        <v>366</v>
      </c>
      <c r="B91" s="156"/>
      <c r="C91" s="9">
        <f>389829878.57</f>
        <v>389829878.56999999</v>
      </c>
      <c r="D91" s="9">
        <f>'Anexo I - Fev'!C91</f>
        <v>266796424.99000001</v>
      </c>
      <c r="E91" s="9">
        <f>C91-D91</f>
        <v>123033453.57999998</v>
      </c>
    </row>
    <row r="92" spans="1:5" x14ac:dyDescent="0.2">
      <c r="A92" s="155" t="s">
        <v>125</v>
      </c>
      <c r="B92" s="156"/>
      <c r="C92" s="9">
        <v>0</v>
      </c>
      <c r="D92" s="9">
        <f>'Anexo I - Jan'!C91</f>
        <v>0</v>
      </c>
      <c r="E92" s="9">
        <f>C92-D92</f>
        <v>0</v>
      </c>
    </row>
    <row r="93" spans="1:5" x14ac:dyDescent="0.2">
      <c r="A93" s="163" t="s">
        <v>96</v>
      </c>
      <c r="B93" s="163"/>
      <c r="C93" s="163"/>
      <c r="D93" s="163"/>
      <c r="E93" s="27">
        <f>SUM(E90:E92)</f>
        <v>123033453.57999998</v>
      </c>
    </row>
    <row r="94" spans="1:5" x14ac:dyDescent="0.2">
      <c r="A94" s="163" t="s">
        <v>97</v>
      </c>
      <c r="B94" s="163"/>
      <c r="C94" s="163"/>
      <c r="D94" s="163"/>
      <c r="E94" s="27">
        <f>$C$17+$C$48+$C$58+$C$65</f>
        <v>123077471.21000001</v>
      </c>
    </row>
    <row r="95" spans="1:5" x14ac:dyDescent="0.2">
      <c r="D95"/>
      <c r="E95"/>
    </row>
    <row r="96" spans="1:5" x14ac:dyDescent="0.2">
      <c r="D96" s="86" t="s">
        <v>278</v>
      </c>
      <c r="E96" s="91">
        <v>123033453.58</v>
      </c>
    </row>
    <row r="97" spans="3:6" x14ac:dyDescent="0.2">
      <c r="C97"/>
      <c r="D97"/>
      <c r="E97" s="88" t="str">
        <f>IF(E93=E94,"despesa OK","DIFERENÇA")</f>
        <v>DIFERENÇA</v>
      </c>
    </row>
    <row r="98" spans="3:6" x14ac:dyDescent="0.2">
      <c r="D98"/>
      <c r="E98" s="8">
        <f>E94-E96</f>
        <v>44017.630000010133</v>
      </c>
      <c r="F98" s="90" t="s">
        <v>362</v>
      </c>
    </row>
  </sheetData>
  <mergeCells count="23">
    <mergeCell ref="A85:C85"/>
    <mergeCell ref="A94:D94"/>
    <mergeCell ref="A91:B91"/>
    <mergeCell ref="A92:B92"/>
    <mergeCell ref="A87:E87"/>
    <mergeCell ref="A90:B90"/>
    <mergeCell ref="A93:D93"/>
    <mergeCell ref="A86:C86"/>
    <mergeCell ref="A84:C84"/>
    <mergeCell ref="A1:C1"/>
    <mergeCell ref="B3:C3"/>
    <mergeCell ref="B4:C4"/>
    <mergeCell ref="B5:C5"/>
    <mergeCell ref="B6:C6"/>
    <mergeCell ref="B7:C7"/>
    <mergeCell ref="B8:C8"/>
    <mergeCell ref="A17:B17"/>
    <mergeCell ref="A83:B83"/>
    <mergeCell ref="A48:B48"/>
    <mergeCell ref="A58:B58"/>
    <mergeCell ref="A65:B65"/>
    <mergeCell ref="A74:B74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F98"/>
  <sheetViews>
    <sheetView showGridLines="0" view="pageBreakPreview" topLeftCell="A63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customWidth="1"/>
    <col min="6" max="6" width="14.42578125" bestFit="1" customWidth="1"/>
  </cols>
  <sheetData>
    <row r="1" spans="1:3" x14ac:dyDescent="0.2">
      <c r="A1" s="164" t="s">
        <v>254</v>
      </c>
      <c r="B1" s="164"/>
      <c r="C1" s="164"/>
    </row>
    <row r="3" spans="1:3" x14ac:dyDescent="0.2">
      <c r="A3" s="2" t="s">
        <v>32</v>
      </c>
      <c r="B3" s="163" t="s">
        <v>255</v>
      </c>
      <c r="C3" s="163"/>
    </row>
    <row r="4" spans="1:3" x14ac:dyDescent="0.2">
      <c r="A4" s="2" t="s">
        <v>33</v>
      </c>
      <c r="B4" s="163" t="s">
        <v>256</v>
      </c>
      <c r="C4" s="163"/>
    </row>
    <row r="5" spans="1:3" x14ac:dyDescent="0.2">
      <c r="A5" s="2" t="s">
        <v>34</v>
      </c>
      <c r="B5" s="163" t="s">
        <v>367</v>
      </c>
      <c r="C5" s="163"/>
    </row>
    <row r="6" spans="1:3" x14ac:dyDescent="0.2">
      <c r="A6" s="2" t="s">
        <v>35</v>
      </c>
      <c r="B6" s="163" t="s">
        <v>257</v>
      </c>
      <c r="C6" s="163"/>
    </row>
    <row r="7" spans="1:3" x14ac:dyDescent="0.2">
      <c r="A7" s="2" t="s">
        <v>36</v>
      </c>
      <c r="B7" s="160" t="s">
        <v>380</v>
      </c>
      <c r="C7" s="161"/>
    </row>
    <row r="8" spans="1:3" x14ac:dyDescent="0.2">
      <c r="A8" s="2" t="s">
        <v>37</v>
      </c>
      <c r="B8" s="162">
        <v>42874</v>
      </c>
      <c r="C8" s="163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273</v>
      </c>
    </row>
    <row r="13" spans="1:3" x14ac:dyDescent="0.2">
      <c r="A13" s="2" t="s">
        <v>40</v>
      </c>
      <c r="B13" s="5" t="s">
        <v>1</v>
      </c>
      <c r="C13" s="10">
        <f>'Despesa - Access'!H2</f>
        <v>72151940.650000006</v>
      </c>
    </row>
    <row r="14" spans="1:3" x14ac:dyDescent="0.2">
      <c r="A14" s="2" t="s">
        <v>41</v>
      </c>
      <c r="B14" s="5" t="s">
        <v>2</v>
      </c>
      <c r="C14" s="10">
        <f>'Despesa - Access'!H3</f>
        <v>13509141.33</v>
      </c>
    </row>
    <row r="15" spans="1:3" x14ac:dyDescent="0.2">
      <c r="A15" s="2" t="s">
        <v>42</v>
      </c>
      <c r="B15" s="5" t="s">
        <v>266</v>
      </c>
      <c r="C15" s="10">
        <f>'Despesa - Access'!H4</f>
        <v>13350241.48</v>
      </c>
    </row>
    <row r="16" spans="1:3" ht="51" x14ac:dyDescent="0.2">
      <c r="A16" s="6" t="s">
        <v>43</v>
      </c>
      <c r="B16" s="5" t="s">
        <v>274</v>
      </c>
      <c r="C16" s="10">
        <v>14049.26</v>
      </c>
    </row>
    <row r="17" spans="1:5" x14ac:dyDescent="0.2">
      <c r="A17" s="165" t="s">
        <v>70</v>
      </c>
      <c r="B17" s="165"/>
      <c r="C17" s="10">
        <f>SUM(C13:C16)</f>
        <v>99025372.720000014</v>
      </c>
      <c r="D17" s="33">
        <v>99011323.459999993</v>
      </c>
      <c r="E17" s="119">
        <f>+C17-D17</f>
        <v>14049.260000020266</v>
      </c>
    </row>
    <row r="18" spans="1:5" x14ac:dyDescent="0.2">
      <c r="D18" s="8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272</v>
      </c>
    </row>
    <row r="22" spans="1:5" x14ac:dyDescent="0.2">
      <c r="A22" s="2" t="s">
        <v>40</v>
      </c>
      <c r="B22" s="2" t="s">
        <v>3</v>
      </c>
      <c r="C22" s="10">
        <f>'Despesa - Access'!H6</f>
        <v>121123.13</v>
      </c>
    </row>
    <row r="23" spans="1:5" x14ac:dyDescent="0.2">
      <c r="A23" s="2" t="s">
        <v>41</v>
      </c>
      <c r="B23" s="2" t="s">
        <v>4</v>
      </c>
      <c r="C23" s="10">
        <f>'Despesa - Access'!H7</f>
        <v>4027306.02</v>
      </c>
    </row>
    <row r="24" spans="1:5" x14ac:dyDescent="0.2">
      <c r="A24" s="2" t="s">
        <v>42</v>
      </c>
      <c r="B24" s="2" t="s">
        <v>5</v>
      </c>
      <c r="C24" s="10">
        <f>'Despesa - Access'!H8</f>
        <v>555705</v>
      </c>
    </row>
    <row r="25" spans="1:5" x14ac:dyDescent="0.2">
      <c r="A25" s="2" t="s">
        <v>43</v>
      </c>
      <c r="B25" s="2" t="s">
        <v>6</v>
      </c>
      <c r="C25" s="10">
        <f>'Despesa - Access'!H9</f>
        <v>1940761.36</v>
      </c>
    </row>
    <row r="26" spans="1:5" x14ac:dyDescent="0.2">
      <c r="A26" s="2" t="s">
        <v>44</v>
      </c>
      <c r="B26" s="2" t="s">
        <v>7</v>
      </c>
      <c r="C26" s="10">
        <f>'Despesa - Access'!H10</f>
        <v>59188.959999999999</v>
      </c>
    </row>
    <row r="27" spans="1:5" x14ac:dyDescent="0.2">
      <c r="A27" s="2" t="s">
        <v>45</v>
      </c>
      <c r="B27" s="2" t="s">
        <v>67</v>
      </c>
      <c r="C27" s="10">
        <f>'Despesa - Access'!H11</f>
        <v>7686.06</v>
      </c>
    </row>
    <row r="28" spans="1:5" x14ac:dyDescent="0.2">
      <c r="A28" s="2" t="s">
        <v>46</v>
      </c>
      <c r="B28" s="2" t="s">
        <v>8</v>
      </c>
      <c r="C28" s="10">
        <f>'Despesa - Access'!H12</f>
        <v>2150378.9300000002</v>
      </c>
    </row>
    <row r="29" spans="1:5" x14ac:dyDescent="0.2">
      <c r="A29" s="2" t="s">
        <v>47</v>
      </c>
      <c r="B29" s="2" t="s">
        <v>9</v>
      </c>
      <c r="C29" s="10">
        <f>'Despesa - Access'!H13</f>
        <v>2559960.85</v>
      </c>
    </row>
    <row r="30" spans="1:5" x14ac:dyDescent="0.2">
      <c r="A30" s="2" t="s">
        <v>48</v>
      </c>
      <c r="B30" s="2" t="s">
        <v>10</v>
      </c>
      <c r="C30" s="10">
        <f>'Despesa - Access'!H14</f>
        <v>163859.63</v>
      </c>
    </row>
    <row r="31" spans="1:5" x14ac:dyDescent="0.2">
      <c r="A31" s="2" t="s">
        <v>49</v>
      </c>
      <c r="B31" s="2" t="s">
        <v>11</v>
      </c>
      <c r="C31" s="10">
        <f>'Despesa - Access'!H15</f>
        <v>666123.36</v>
      </c>
    </row>
    <row r="32" spans="1:5" x14ac:dyDescent="0.2">
      <c r="A32" s="2" t="s">
        <v>50</v>
      </c>
      <c r="B32" s="2" t="s">
        <v>12</v>
      </c>
      <c r="C32" s="10">
        <f>'Despesa - Access'!H16</f>
        <v>11225.39</v>
      </c>
    </row>
    <row r="33" spans="1:5" x14ac:dyDescent="0.2">
      <c r="A33" s="2" t="s">
        <v>51</v>
      </c>
      <c r="B33" s="2" t="s">
        <v>13</v>
      </c>
      <c r="C33" s="10">
        <f>'Despesa - Access'!H17</f>
        <v>733446.1</v>
      </c>
    </row>
    <row r="34" spans="1:5" ht="63.75" x14ac:dyDescent="0.2">
      <c r="A34" s="6" t="s">
        <v>52</v>
      </c>
      <c r="B34" s="7" t="s">
        <v>275</v>
      </c>
      <c r="C34" s="10">
        <f>'Despesa - Access'!H18</f>
        <v>313465.46999999997</v>
      </c>
    </row>
    <row r="35" spans="1:5" x14ac:dyDescent="0.2">
      <c r="A35" s="2" t="s">
        <v>53</v>
      </c>
      <c r="B35" s="2" t="s">
        <v>14</v>
      </c>
      <c r="C35" s="10">
        <f>'Despesa - Access'!H19</f>
        <v>625637.4</v>
      </c>
    </row>
    <row r="36" spans="1:5" x14ac:dyDescent="0.2">
      <c r="A36" s="2" t="s">
        <v>54</v>
      </c>
      <c r="B36" s="2" t="s">
        <v>267</v>
      </c>
      <c r="C36" s="10">
        <f>'Despesa - Access'!H20</f>
        <v>2366792.29</v>
      </c>
    </row>
    <row r="37" spans="1:5" x14ac:dyDescent="0.2">
      <c r="A37" s="2" t="s">
        <v>55</v>
      </c>
      <c r="B37" s="2" t="s">
        <v>15</v>
      </c>
      <c r="C37" s="10">
        <f>'Despesa - Access'!H21</f>
        <v>321.64</v>
      </c>
    </row>
    <row r="38" spans="1:5" ht="25.5" x14ac:dyDescent="0.2">
      <c r="A38" s="6" t="s">
        <v>56</v>
      </c>
      <c r="B38" s="26" t="s">
        <v>68</v>
      </c>
      <c r="C38" s="10">
        <f>'Despesa - Access'!H22</f>
        <v>26715.4</v>
      </c>
    </row>
    <row r="39" spans="1:5" x14ac:dyDescent="0.2">
      <c r="A39" s="2" t="s">
        <v>57</v>
      </c>
      <c r="B39" s="2" t="s">
        <v>16</v>
      </c>
      <c r="C39" s="10">
        <f>'Despesa - Access'!H23</f>
        <v>10398.299999999999</v>
      </c>
    </row>
    <row r="40" spans="1:5" x14ac:dyDescent="0.2">
      <c r="A40" s="2" t="s">
        <v>58</v>
      </c>
      <c r="B40" s="2" t="s">
        <v>17</v>
      </c>
      <c r="C40" s="10">
        <f>'Despesa - Access'!H24</f>
        <v>170.2</v>
      </c>
    </row>
    <row r="41" spans="1:5" x14ac:dyDescent="0.2">
      <c r="A41" s="2" t="s">
        <v>59</v>
      </c>
      <c r="B41" s="2" t="s">
        <v>18</v>
      </c>
      <c r="C41" s="10">
        <f>'Despesa - Access'!H25</f>
        <v>0</v>
      </c>
    </row>
    <row r="42" spans="1:5" x14ac:dyDescent="0.2">
      <c r="A42" s="2" t="s">
        <v>60</v>
      </c>
      <c r="B42" s="2" t="s">
        <v>19</v>
      </c>
      <c r="C42" s="10">
        <f>'Despesa - Access'!H26</f>
        <v>0</v>
      </c>
    </row>
    <row r="43" spans="1:5" x14ac:dyDescent="0.2">
      <c r="A43" s="2" t="s">
        <v>61</v>
      </c>
      <c r="B43" s="2" t="s">
        <v>20</v>
      </c>
      <c r="C43" s="10">
        <f>'Despesa - Access'!H27</f>
        <v>12869.06</v>
      </c>
    </row>
    <row r="44" spans="1:5" x14ac:dyDescent="0.2">
      <c r="A44" s="2" t="s">
        <v>62</v>
      </c>
      <c r="B44" s="2" t="s">
        <v>21</v>
      </c>
      <c r="C44" s="10">
        <f>'Despesa - Access'!H28</f>
        <v>0</v>
      </c>
    </row>
    <row r="45" spans="1:5" x14ac:dyDescent="0.2">
      <c r="A45" s="2" t="s">
        <v>63</v>
      </c>
      <c r="B45" s="2" t="s">
        <v>69</v>
      </c>
      <c r="C45" s="10">
        <f>'Despesa - Access'!H29</f>
        <v>38795.94</v>
      </c>
    </row>
    <row r="46" spans="1:5" x14ac:dyDescent="0.2">
      <c r="A46" s="2" t="s">
        <v>64</v>
      </c>
      <c r="B46" s="2" t="s">
        <v>22</v>
      </c>
      <c r="C46" s="10">
        <f>'Despesa - Access'!H30</f>
        <v>0</v>
      </c>
    </row>
    <row r="47" spans="1:5" x14ac:dyDescent="0.2">
      <c r="A47" s="2" t="s">
        <v>65</v>
      </c>
      <c r="B47" s="2" t="s">
        <v>23</v>
      </c>
      <c r="C47" s="10">
        <f>'Despesa - Access'!H31</f>
        <v>5758268.5700000003</v>
      </c>
    </row>
    <row r="48" spans="1:5" x14ac:dyDescent="0.2">
      <c r="A48" s="165" t="s">
        <v>70</v>
      </c>
      <c r="B48" s="165"/>
      <c r="C48" s="10">
        <f>SUM(C22:C47)</f>
        <v>22150199.060000002</v>
      </c>
      <c r="D48" s="33">
        <v>22150199.059999999</v>
      </c>
      <c r="E48" s="119">
        <f>+C48-D48</f>
        <v>0</v>
      </c>
    </row>
    <row r="49" spans="1:4" x14ac:dyDescent="0.2">
      <c r="D49" s="8"/>
    </row>
    <row r="50" spans="1:4" x14ac:dyDescent="0.2">
      <c r="A50" s="4" t="s">
        <v>259</v>
      </c>
    </row>
    <row r="52" spans="1:4" x14ac:dyDescent="0.2">
      <c r="A52" s="3" t="s">
        <v>38</v>
      </c>
      <c r="B52" s="3" t="s">
        <v>39</v>
      </c>
      <c r="C52" s="11" t="s">
        <v>272</v>
      </c>
    </row>
    <row r="53" spans="1:4" x14ac:dyDescent="0.2">
      <c r="A53" s="2" t="s">
        <v>40</v>
      </c>
      <c r="B53" s="2" t="s">
        <v>25</v>
      </c>
      <c r="C53" s="9">
        <f>'Despesa - Access'!H32</f>
        <v>0</v>
      </c>
    </row>
    <row r="54" spans="1:4" x14ac:dyDescent="0.2">
      <c r="A54" s="2" t="s">
        <v>41</v>
      </c>
      <c r="B54" s="2" t="s">
        <v>26</v>
      </c>
      <c r="C54" s="9">
        <f>'Despesa - Access'!H33</f>
        <v>0</v>
      </c>
    </row>
    <row r="55" spans="1:4" x14ac:dyDescent="0.2">
      <c r="A55" s="2" t="s">
        <v>42</v>
      </c>
      <c r="B55" s="2" t="s">
        <v>66</v>
      </c>
      <c r="C55" s="9">
        <f>'Despesa - Access'!H34</f>
        <v>0</v>
      </c>
    </row>
    <row r="56" spans="1:4" x14ac:dyDescent="0.2">
      <c r="A56" s="2" t="s">
        <v>43</v>
      </c>
      <c r="B56" s="2" t="s">
        <v>27</v>
      </c>
      <c r="C56" s="9">
        <f>'Despesa - Access'!H35</f>
        <v>0</v>
      </c>
    </row>
    <row r="57" spans="1:4" x14ac:dyDescent="0.2">
      <c r="A57" s="2" t="s">
        <v>44</v>
      </c>
      <c r="B57" s="2" t="s">
        <v>28</v>
      </c>
      <c r="C57" s="9">
        <f>'Despesa - Access'!H36</f>
        <v>0</v>
      </c>
    </row>
    <row r="58" spans="1:4" x14ac:dyDescent="0.2">
      <c r="A58" s="165" t="s">
        <v>70</v>
      </c>
      <c r="B58" s="165"/>
      <c r="C58" s="10">
        <f>SUM(C53:C57)</f>
        <v>0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272</v>
      </c>
    </row>
    <row r="63" spans="1:4" x14ac:dyDescent="0.2">
      <c r="A63" s="2" t="s">
        <v>40</v>
      </c>
      <c r="B63" s="2" t="s">
        <v>30</v>
      </c>
      <c r="C63" s="9">
        <f>'Despesa - Access'!H37</f>
        <v>0</v>
      </c>
    </row>
    <row r="64" spans="1:4" x14ac:dyDescent="0.2">
      <c r="A64" s="2" t="s">
        <v>41</v>
      </c>
      <c r="B64" s="2" t="s">
        <v>31</v>
      </c>
      <c r="C64" s="9">
        <f>'Despesa - Access'!H38</f>
        <v>0</v>
      </c>
    </row>
    <row r="65" spans="1:3" x14ac:dyDescent="0.2">
      <c r="A65" s="165" t="s">
        <v>70</v>
      </c>
      <c r="B65" s="165"/>
      <c r="C65" s="10">
        <f>SUM(C63:C64)</f>
        <v>0</v>
      </c>
    </row>
    <row r="66" spans="1:3" x14ac:dyDescent="0.2">
      <c r="A66" s="154"/>
      <c r="B66" s="154"/>
      <c r="C66" s="15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265</v>
      </c>
    </row>
    <row r="70" spans="1:3" x14ac:dyDescent="0.2">
      <c r="A70" s="2" t="s">
        <v>40</v>
      </c>
      <c r="B70" s="2" t="s">
        <v>74</v>
      </c>
      <c r="C70" s="9">
        <f>'Financeiro - Access'!H2</f>
        <v>98944252.140000001</v>
      </c>
    </row>
    <row r="71" spans="1:3" x14ac:dyDescent="0.2">
      <c r="A71" s="2" t="s">
        <v>41</v>
      </c>
      <c r="B71" s="2" t="s">
        <v>75</v>
      </c>
      <c r="C71" s="9">
        <f>'Financeiro - Access'!H3</f>
        <v>24579474.190000001</v>
      </c>
    </row>
    <row r="72" spans="1:3" x14ac:dyDescent="0.2">
      <c r="A72" s="2" t="s">
        <v>42</v>
      </c>
      <c r="B72" s="2" t="s">
        <v>180</v>
      </c>
      <c r="C72" s="9">
        <f>'Financeiro - Access'!H4</f>
        <v>0</v>
      </c>
    </row>
    <row r="73" spans="1:3" x14ac:dyDescent="0.2">
      <c r="A73" s="2" t="s">
        <v>43</v>
      </c>
      <c r="B73" s="2" t="s">
        <v>268</v>
      </c>
      <c r="C73" s="9">
        <f>'Financeiro - Access'!H5</f>
        <v>0</v>
      </c>
    </row>
    <row r="74" spans="1:3" x14ac:dyDescent="0.2">
      <c r="A74" s="165" t="s">
        <v>70</v>
      </c>
      <c r="B74" s="165"/>
      <c r="C74" s="10">
        <f>SUM(C70:C73)</f>
        <v>123523726.33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273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5" x14ac:dyDescent="0.2">
      <c r="A81" s="2" t="s">
        <v>42</v>
      </c>
      <c r="B81" s="2" t="s">
        <v>271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5" t="s">
        <v>70</v>
      </c>
      <c r="B83" s="165"/>
      <c r="C83" s="10">
        <f>SUM(C79:C82)</f>
        <v>0</v>
      </c>
    </row>
    <row r="84" spans="1:5" x14ac:dyDescent="0.2">
      <c r="A84" s="169" t="s">
        <v>323</v>
      </c>
      <c r="B84" s="169"/>
      <c r="C84" s="169"/>
    </row>
    <row r="85" spans="1:5" x14ac:dyDescent="0.2">
      <c r="A85" s="170" t="s">
        <v>389</v>
      </c>
      <c r="B85" s="170"/>
      <c r="C85" s="170"/>
    </row>
    <row r="87" spans="1:5" x14ac:dyDescent="0.2">
      <c r="A87" s="157" t="s">
        <v>98</v>
      </c>
      <c r="B87" s="157"/>
      <c r="C87" s="157"/>
      <c r="D87" s="157"/>
      <c r="E87" s="157"/>
    </row>
    <row r="88" spans="1:5" x14ac:dyDescent="0.2">
      <c r="A88" s="107"/>
      <c r="B88" s="107"/>
      <c r="C88" s="107"/>
    </row>
    <row r="89" spans="1:5" x14ac:dyDescent="0.2">
      <c r="C89" s="11" t="s">
        <v>102</v>
      </c>
      <c r="D89" s="3" t="s">
        <v>101</v>
      </c>
      <c r="E89" s="3" t="s">
        <v>70</v>
      </c>
    </row>
    <row r="90" spans="1:5" x14ac:dyDescent="0.2">
      <c r="A90" s="155"/>
      <c r="B90" s="156"/>
      <c r="C90" s="9">
        <v>0</v>
      </c>
      <c r="D90" s="9">
        <f>'Anexo I - Jan'!C89</f>
        <v>0</v>
      </c>
      <c r="E90" s="9">
        <f>C90-D90</f>
        <v>0</v>
      </c>
    </row>
    <row r="91" spans="1:5" x14ac:dyDescent="0.2">
      <c r="A91" s="155" t="s">
        <v>366</v>
      </c>
      <c r="B91" s="156"/>
      <c r="C91" s="9">
        <v>510991401.08999997</v>
      </c>
      <c r="D91" s="9">
        <f>'Anexo I - Mar'!C91</f>
        <v>389829878.56999999</v>
      </c>
      <c r="E91" s="9">
        <f>C91-D91</f>
        <v>121161522.51999998</v>
      </c>
    </row>
    <row r="92" spans="1:5" x14ac:dyDescent="0.2">
      <c r="A92" s="155" t="s">
        <v>125</v>
      </c>
      <c r="B92" s="156"/>
      <c r="C92" s="9">
        <v>0</v>
      </c>
      <c r="D92" s="9">
        <f>'Anexo I - Jan'!C91</f>
        <v>0</v>
      </c>
      <c r="E92" s="9">
        <f>C92-D92</f>
        <v>0</v>
      </c>
    </row>
    <row r="93" spans="1:5" x14ac:dyDescent="0.2">
      <c r="A93" s="163" t="s">
        <v>96</v>
      </c>
      <c r="B93" s="163"/>
      <c r="C93" s="163"/>
      <c r="D93" s="163"/>
      <c r="E93" s="27">
        <f>SUM(E90:E92)</f>
        <v>121161522.51999998</v>
      </c>
    </row>
    <row r="94" spans="1:5" x14ac:dyDescent="0.2">
      <c r="A94" s="163" t="s">
        <v>97</v>
      </c>
      <c r="B94" s="163"/>
      <c r="C94" s="163"/>
      <c r="D94" s="163"/>
      <c r="E94" s="27">
        <f>$C$17+$C$48+$C$58+$C$65</f>
        <v>121175571.78000002</v>
      </c>
    </row>
    <row r="96" spans="1:5" x14ac:dyDescent="0.2">
      <c r="D96" s="86" t="s">
        <v>278</v>
      </c>
      <c r="E96" s="91">
        <v>121161522.52</v>
      </c>
    </row>
    <row r="97" spans="3:6" x14ac:dyDescent="0.2">
      <c r="C97"/>
      <c r="E97" s="88" t="str">
        <f>IF(E93=E94,"despesa OK","DIFERENÇA")</f>
        <v>DIFERENÇA</v>
      </c>
    </row>
    <row r="98" spans="3:6" x14ac:dyDescent="0.2">
      <c r="E98" s="8">
        <f>E94-E96</f>
        <v>14049.260000020266</v>
      </c>
      <c r="F98" s="90" t="s">
        <v>362</v>
      </c>
    </row>
  </sheetData>
  <mergeCells count="22">
    <mergeCell ref="A94:D94"/>
    <mergeCell ref="A85:C85"/>
    <mergeCell ref="A83:B83"/>
    <mergeCell ref="A48:B48"/>
    <mergeCell ref="A58:B58"/>
    <mergeCell ref="A65:B65"/>
    <mergeCell ref="A74:B74"/>
    <mergeCell ref="A66:C66"/>
    <mergeCell ref="A93:D93"/>
    <mergeCell ref="A90:B90"/>
    <mergeCell ref="A91:B91"/>
    <mergeCell ref="A87:E87"/>
    <mergeCell ref="A92:B92"/>
    <mergeCell ref="A84:C84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98"/>
  <sheetViews>
    <sheetView showGridLines="0" view="pageBreakPreview" topLeftCell="A64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customWidth="1"/>
    <col min="6" max="6" width="14.42578125" bestFit="1" customWidth="1"/>
    <col min="7" max="7" width="13.42578125" bestFit="1" customWidth="1"/>
  </cols>
  <sheetData>
    <row r="1" spans="1:3" x14ac:dyDescent="0.2">
      <c r="A1" s="164" t="s">
        <v>254</v>
      </c>
      <c r="B1" s="164"/>
      <c r="C1" s="164"/>
    </row>
    <row r="3" spans="1:3" x14ac:dyDescent="0.2">
      <c r="A3" s="2" t="s">
        <v>32</v>
      </c>
      <c r="B3" s="163" t="s">
        <v>255</v>
      </c>
      <c r="C3" s="163"/>
    </row>
    <row r="4" spans="1:3" x14ac:dyDescent="0.2">
      <c r="A4" s="2" t="s">
        <v>33</v>
      </c>
      <c r="B4" s="163" t="s">
        <v>256</v>
      </c>
      <c r="C4" s="163"/>
    </row>
    <row r="5" spans="1:3" x14ac:dyDescent="0.2">
      <c r="A5" s="2" t="s">
        <v>34</v>
      </c>
      <c r="B5" s="163" t="s">
        <v>367</v>
      </c>
      <c r="C5" s="163"/>
    </row>
    <row r="6" spans="1:3" x14ac:dyDescent="0.2">
      <c r="A6" s="2" t="s">
        <v>35</v>
      </c>
      <c r="B6" s="163" t="s">
        <v>257</v>
      </c>
      <c r="C6" s="163"/>
    </row>
    <row r="7" spans="1:3" x14ac:dyDescent="0.2">
      <c r="A7" s="2" t="s">
        <v>36</v>
      </c>
      <c r="B7" s="160" t="s">
        <v>382</v>
      </c>
      <c r="C7" s="161"/>
    </row>
    <row r="8" spans="1:3" x14ac:dyDescent="0.2">
      <c r="A8" s="2" t="s">
        <v>37</v>
      </c>
      <c r="B8" s="162">
        <v>42535</v>
      </c>
      <c r="C8" s="163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Access'!I2</f>
        <v>71898921.430000007</v>
      </c>
    </row>
    <row r="14" spans="1:3" x14ac:dyDescent="0.2">
      <c r="A14" s="2" t="s">
        <v>41</v>
      </c>
      <c r="B14" s="5" t="s">
        <v>2</v>
      </c>
      <c r="C14" s="10">
        <f>'Despesa - Access'!I3</f>
        <v>13727301.880000001</v>
      </c>
    </row>
    <row r="15" spans="1:3" x14ac:dyDescent="0.2">
      <c r="A15" s="2" t="s">
        <v>42</v>
      </c>
      <c r="B15" s="5" t="s">
        <v>266</v>
      </c>
      <c r="C15" s="10">
        <f>'Despesa - Access'!I4</f>
        <v>13236351.02</v>
      </c>
    </row>
    <row r="16" spans="1:3" ht="51" x14ac:dyDescent="0.2">
      <c r="A16" s="6" t="s">
        <v>43</v>
      </c>
      <c r="B16" s="5" t="s">
        <v>274</v>
      </c>
      <c r="C16" s="10">
        <f>'Despesa - Access'!I5</f>
        <v>0</v>
      </c>
    </row>
    <row r="17" spans="1:5" x14ac:dyDescent="0.2">
      <c r="A17" s="165" t="s">
        <v>70</v>
      </c>
      <c r="B17" s="165"/>
      <c r="C17" s="10">
        <f>SUM(C13:C16)</f>
        <v>98862574.329999998</v>
      </c>
      <c r="D17" s="33">
        <v>98862574.329999998</v>
      </c>
      <c r="E17" s="8">
        <f>+D17-C17</f>
        <v>0</v>
      </c>
    </row>
    <row r="18" spans="1:5" x14ac:dyDescent="0.2">
      <c r="D18" s="94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273</v>
      </c>
    </row>
    <row r="22" spans="1:5" x14ac:dyDescent="0.2">
      <c r="A22" s="2" t="s">
        <v>40</v>
      </c>
      <c r="B22" s="2" t="s">
        <v>3</v>
      </c>
      <c r="C22" s="9">
        <f>'Despesa - Access'!I6</f>
        <v>133365.03</v>
      </c>
      <c r="D22" s="33"/>
    </row>
    <row r="23" spans="1:5" x14ac:dyDescent="0.2">
      <c r="A23" s="2" t="s">
        <v>41</v>
      </c>
      <c r="B23" s="2" t="s">
        <v>4</v>
      </c>
      <c r="C23" s="9">
        <f>'Despesa - Access'!I7</f>
        <v>4028398.4</v>
      </c>
      <c r="D23" s="33"/>
      <c r="E23" s="33"/>
    </row>
    <row r="24" spans="1:5" x14ac:dyDescent="0.2">
      <c r="A24" s="2" t="s">
        <v>42</v>
      </c>
      <c r="B24" s="2" t="s">
        <v>5</v>
      </c>
      <c r="C24" s="9">
        <f>'Despesa - Access'!I8</f>
        <v>559200</v>
      </c>
      <c r="D24" s="33"/>
      <c r="E24" s="33"/>
    </row>
    <row r="25" spans="1:5" x14ac:dyDescent="0.2">
      <c r="A25" s="2" t="s">
        <v>43</v>
      </c>
      <c r="B25" s="2" t="s">
        <v>6</v>
      </c>
      <c r="C25" s="9">
        <f>'Despesa - Access'!I9</f>
        <v>1928160.38</v>
      </c>
      <c r="D25" s="33"/>
      <c r="E25" s="33"/>
    </row>
    <row r="26" spans="1:5" x14ac:dyDescent="0.2">
      <c r="A26" s="2" t="s">
        <v>44</v>
      </c>
      <c r="B26" s="2" t="s">
        <v>7</v>
      </c>
      <c r="C26" s="9">
        <f>'Despesa - Access'!I10</f>
        <v>133429.57999999999</v>
      </c>
      <c r="E26" s="33"/>
    </row>
    <row r="27" spans="1:5" x14ac:dyDescent="0.2">
      <c r="A27" s="2" t="s">
        <v>45</v>
      </c>
      <c r="B27" s="2" t="s">
        <v>67</v>
      </c>
      <c r="C27" s="9">
        <f>'Despesa - Access'!I11</f>
        <v>34331.300000000003</v>
      </c>
    </row>
    <row r="28" spans="1:5" x14ac:dyDescent="0.2">
      <c r="A28" s="2" t="s">
        <v>46</v>
      </c>
      <c r="B28" s="2" t="s">
        <v>8</v>
      </c>
      <c r="C28" s="9">
        <f>'Despesa - Access'!I12</f>
        <v>2019483.66</v>
      </c>
    </row>
    <row r="29" spans="1:5" x14ac:dyDescent="0.2">
      <c r="A29" s="2" t="s">
        <v>47</v>
      </c>
      <c r="B29" s="2" t="s">
        <v>9</v>
      </c>
      <c r="C29" s="9">
        <f>'Despesa - Access'!I13</f>
        <v>2608819.0099999998</v>
      </c>
    </row>
    <row r="30" spans="1:5" x14ac:dyDescent="0.2">
      <c r="A30" s="2" t="s">
        <v>48</v>
      </c>
      <c r="B30" s="2" t="s">
        <v>10</v>
      </c>
      <c r="C30" s="9">
        <f>'Despesa - Access'!I14</f>
        <v>180392.59</v>
      </c>
    </row>
    <row r="31" spans="1:5" x14ac:dyDescent="0.2">
      <c r="A31" s="2" t="s">
        <v>49</v>
      </c>
      <c r="B31" s="2" t="s">
        <v>11</v>
      </c>
      <c r="C31" s="9">
        <f>'Despesa - Access'!I15</f>
        <v>633331.22</v>
      </c>
    </row>
    <row r="32" spans="1:5" x14ac:dyDescent="0.2">
      <c r="A32" s="2" t="s">
        <v>50</v>
      </c>
      <c r="B32" s="2" t="s">
        <v>12</v>
      </c>
      <c r="C32" s="9">
        <f>'Despesa - Access'!I16</f>
        <v>10418.16</v>
      </c>
    </row>
    <row r="33" spans="1:5" x14ac:dyDescent="0.2">
      <c r="A33" s="2" t="s">
        <v>51</v>
      </c>
      <c r="B33" s="2" t="s">
        <v>13</v>
      </c>
      <c r="C33" s="9">
        <f>'Despesa - Access'!I17</f>
        <v>870517.49</v>
      </c>
    </row>
    <row r="34" spans="1:5" ht="63.75" x14ac:dyDescent="0.2">
      <c r="A34" s="6" t="s">
        <v>52</v>
      </c>
      <c r="B34" s="7" t="s">
        <v>275</v>
      </c>
      <c r="C34" s="9">
        <f>'Despesa - Access'!I18</f>
        <v>505620.13</v>
      </c>
    </row>
    <row r="35" spans="1:5" x14ac:dyDescent="0.2">
      <c r="A35" s="2" t="s">
        <v>53</v>
      </c>
      <c r="B35" s="2" t="s">
        <v>14</v>
      </c>
      <c r="C35" s="9">
        <f>'Despesa - Access'!I19</f>
        <v>789285.07</v>
      </c>
    </row>
    <row r="36" spans="1:5" x14ac:dyDescent="0.2">
      <c r="A36" s="2" t="s">
        <v>54</v>
      </c>
      <c r="B36" s="2" t="s">
        <v>267</v>
      </c>
      <c r="C36" s="9">
        <f>'Despesa - Access'!I20</f>
        <v>2918923.1</v>
      </c>
    </row>
    <row r="37" spans="1:5" x14ac:dyDescent="0.2">
      <c r="A37" s="2" t="s">
        <v>55</v>
      </c>
      <c r="B37" s="2" t="s">
        <v>15</v>
      </c>
      <c r="C37" s="9">
        <f>'Despesa - Access'!I21</f>
        <v>10730.08</v>
      </c>
    </row>
    <row r="38" spans="1:5" ht="25.5" x14ac:dyDescent="0.2">
      <c r="A38" s="6" t="s">
        <v>56</v>
      </c>
      <c r="B38" s="26" t="s">
        <v>68</v>
      </c>
      <c r="C38" s="9">
        <f>'Despesa - Access'!I22</f>
        <v>856143.01</v>
      </c>
    </row>
    <row r="39" spans="1:5" x14ac:dyDescent="0.2">
      <c r="A39" s="2" t="s">
        <v>57</v>
      </c>
      <c r="B39" s="2" t="s">
        <v>16</v>
      </c>
      <c r="C39" s="9">
        <f>'Despesa - Access'!I23</f>
        <v>25072.7</v>
      </c>
    </row>
    <row r="40" spans="1:5" x14ac:dyDescent="0.2">
      <c r="A40" s="2" t="s">
        <v>58</v>
      </c>
      <c r="B40" s="2" t="s">
        <v>17</v>
      </c>
      <c r="C40" s="9">
        <f>'Despesa - Access'!I24</f>
        <v>2239.9299999999998</v>
      </c>
    </row>
    <row r="41" spans="1:5" x14ac:dyDescent="0.2">
      <c r="A41" s="2" t="s">
        <v>59</v>
      </c>
      <c r="B41" s="2" t="s">
        <v>18</v>
      </c>
      <c r="C41" s="9">
        <f>'Despesa - Access'!I25</f>
        <v>0</v>
      </c>
    </row>
    <row r="42" spans="1:5" x14ac:dyDescent="0.2">
      <c r="A42" s="2" t="s">
        <v>60</v>
      </c>
      <c r="B42" s="2" t="s">
        <v>19</v>
      </c>
      <c r="C42" s="9">
        <f>'Despesa - Access'!I26</f>
        <v>21705</v>
      </c>
    </row>
    <row r="43" spans="1:5" x14ac:dyDescent="0.2">
      <c r="A43" s="2" t="s">
        <v>61</v>
      </c>
      <c r="B43" s="2" t="s">
        <v>20</v>
      </c>
      <c r="C43" s="9">
        <f>'Despesa - Access'!I27</f>
        <v>8276.19</v>
      </c>
    </row>
    <row r="44" spans="1:5" x14ac:dyDescent="0.2">
      <c r="A44" s="2" t="s">
        <v>62</v>
      </c>
      <c r="B44" s="2" t="s">
        <v>21</v>
      </c>
      <c r="C44" s="9">
        <f>'Despesa - Access'!I28</f>
        <v>0</v>
      </c>
    </row>
    <row r="45" spans="1:5" x14ac:dyDescent="0.2">
      <c r="A45" s="2" t="s">
        <v>63</v>
      </c>
      <c r="B45" s="2" t="s">
        <v>69</v>
      </c>
      <c r="C45" s="9">
        <f>'Despesa - Access'!I29</f>
        <v>20168.810000000001</v>
      </c>
    </row>
    <row r="46" spans="1:5" x14ac:dyDescent="0.2">
      <c r="A46" s="2" t="s">
        <v>64</v>
      </c>
      <c r="B46" s="2" t="s">
        <v>22</v>
      </c>
      <c r="C46" s="9">
        <f>'Despesa - Access'!I30</f>
        <v>0</v>
      </c>
    </row>
    <row r="47" spans="1:5" x14ac:dyDescent="0.2">
      <c r="A47" s="2" t="s">
        <v>65</v>
      </c>
      <c r="B47" s="2" t="s">
        <v>23</v>
      </c>
      <c r="C47" s="9">
        <f>'Despesa - Access'!I31</f>
        <v>4369966.97</v>
      </c>
    </row>
    <row r="48" spans="1:5" x14ac:dyDescent="0.2">
      <c r="A48" s="165" t="s">
        <v>70</v>
      </c>
      <c r="B48" s="165"/>
      <c r="C48" s="10">
        <f>SUM(C22:C47)</f>
        <v>22667977.809999999</v>
      </c>
      <c r="D48" s="8">
        <v>22667977.809999999</v>
      </c>
      <c r="E48" s="8">
        <f>+D48-C48</f>
        <v>0</v>
      </c>
    </row>
    <row r="50" spans="1:3" x14ac:dyDescent="0.2">
      <c r="A50" s="4" t="s">
        <v>259</v>
      </c>
    </row>
    <row r="52" spans="1:3" x14ac:dyDescent="0.2">
      <c r="A52" s="3" t="s">
        <v>38</v>
      </c>
      <c r="B52" s="3" t="s">
        <v>39</v>
      </c>
      <c r="C52" s="11" t="s">
        <v>273</v>
      </c>
    </row>
    <row r="53" spans="1:3" x14ac:dyDescent="0.2">
      <c r="A53" s="2" t="s">
        <v>40</v>
      </c>
      <c r="B53" s="2" t="s">
        <v>25</v>
      </c>
      <c r="C53" s="9">
        <f>'Despesa - Access'!I32</f>
        <v>0</v>
      </c>
    </row>
    <row r="54" spans="1:3" x14ac:dyDescent="0.2">
      <c r="A54" s="2" t="s">
        <v>41</v>
      </c>
      <c r="B54" s="2" t="s">
        <v>26</v>
      </c>
      <c r="C54" s="9">
        <f>'Despesa - Access'!I33</f>
        <v>0</v>
      </c>
    </row>
    <row r="55" spans="1:3" x14ac:dyDescent="0.2">
      <c r="A55" s="2" t="s">
        <v>42</v>
      </c>
      <c r="B55" s="2" t="s">
        <v>66</v>
      </c>
      <c r="C55" s="9">
        <f>'Despesa - Access'!I34</f>
        <v>0</v>
      </c>
    </row>
    <row r="56" spans="1:3" x14ac:dyDescent="0.2">
      <c r="A56" s="2" t="s">
        <v>43</v>
      </c>
      <c r="B56" s="2" t="s">
        <v>27</v>
      </c>
      <c r="C56" s="9">
        <f>'Despesa - Access'!I35</f>
        <v>0</v>
      </c>
    </row>
    <row r="57" spans="1:3" x14ac:dyDescent="0.2">
      <c r="A57" s="2" t="s">
        <v>44</v>
      </c>
      <c r="B57" s="2" t="s">
        <v>28</v>
      </c>
      <c r="C57" s="9">
        <f>'Despesa - Access'!I36</f>
        <v>0</v>
      </c>
    </row>
    <row r="58" spans="1:3" x14ac:dyDescent="0.2">
      <c r="A58" s="165" t="s">
        <v>70</v>
      </c>
      <c r="B58" s="165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272</v>
      </c>
    </row>
    <row r="63" spans="1:3" x14ac:dyDescent="0.2">
      <c r="A63" s="2" t="s">
        <v>40</v>
      </c>
      <c r="B63" s="2" t="s">
        <v>30</v>
      </c>
      <c r="C63" s="9">
        <f>'Despesa - Access'!I37</f>
        <v>0</v>
      </c>
    </row>
    <row r="64" spans="1:3" x14ac:dyDescent="0.2">
      <c r="A64" s="2" t="s">
        <v>41</v>
      </c>
      <c r="B64" s="2" t="s">
        <v>31</v>
      </c>
      <c r="C64" s="9">
        <f>'Despesa - Access'!I38</f>
        <v>0</v>
      </c>
    </row>
    <row r="65" spans="1:3" x14ac:dyDescent="0.2">
      <c r="A65" s="165" t="s">
        <v>70</v>
      </c>
      <c r="B65" s="165"/>
      <c r="C65" s="10">
        <f>SUM(C63:C64)</f>
        <v>0</v>
      </c>
    </row>
    <row r="66" spans="1:3" x14ac:dyDescent="0.2">
      <c r="A66" s="154"/>
      <c r="B66" s="154"/>
      <c r="C66" s="15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273</v>
      </c>
    </row>
    <row r="70" spans="1:3" x14ac:dyDescent="0.2">
      <c r="A70" s="2" t="s">
        <v>40</v>
      </c>
      <c r="B70" s="2" t="s">
        <v>74</v>
      </c>
      <c r="C70" s="9">
        <f>'Financeiro - Access'!I2</f>
        <v>99065316.879999995</v>
      </c>
    </row>
    <row r="71" spans="1:3" x14ac:dyDescent="0.2">
      <c r="A71" s="2" t="s">
        <v>41</v>
      </c>
      <c r="B71" s="2" t="s">
        <v>75</v>
      </c>
      <c r="C71" s="9">
        <f>'Financeiro - Access'!I3</f>
        <v>23943473.809999999</v>
      </c>
    </row>
    <row r="72" spans="1:3" x14ac:dyDescent="0.2">
      <c r="A72" s="2" t="s">
        <v>42</v>
      </c>
      <c r="B72" s="2" t="s">
        <v>180</v>
      </c>
      <c r="C72" s="9">
        <f>'Financeiro - Access'!I4</f>
        <v>0</v>
      </c>
    </row>
    <row r="73" spans="1:3" x14ac:dyDescent="0.2">
      <c r="A73" s="2" t="s">
        <v>43</v>
      </c>
      <c r="B73" s="2" t="s">
        <v>268</v>
      </c>
      <c r="C73" s="9">
        <f>'Financeiro - Access'!I5</f>
        <v>0</v>
      </c>
    </row>
    <row r="74" spans="1:3" x14ac:dyDescent="0.2">
      <c r="A74" s="165" t="s">
        <v>70</v>
      </c>
      <c r="B74" s="165"/>
      <c r="C74" s="10">
        <f>SUM(C70:C73)</f>
        <v>123008790.69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5" x14ac:dyDescent="0.2">
      <c r="A81" s="2" t="s">
        <v>42</v>
      </c>
      <c r="B81" s="2" t="s">
        <v>271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5" t="s">
        <v>70</v>
      </c>
      <c r="B83" s="165"/>
      <c r="C83" s="10">
        <f>SUM(C79:C82)</f>
        <v>0</v>
      </c>
    </row>
    <row r="84" spans="1:5" x14ac:dyDescent="0.2">
      <c r="A84" s="169" t="s">
        <v>323</v>
      </c>
      <c r="B84" s="169"/>
      <c r="C84" s="169"/>
    </row>
    <row r="85" spans="1:5" x14ac:dyDescent="0.2">
      <c r="A85" s="170" t="s">
        <v>389</v>
      </c>
      <c r="B85" s="170"/>
      <c r="C85" s="170"/>
    </row>
    <row r="87" spans="1:5" x14ac:dyDescent="0.2">
      <c r="A87" s="157" t="s">
        <v>98</v>
      </c>
      <c r="B87" s="157"/>
      <c r="C87" s="157"/>
      <c r="D87" s="157"/>
      <c r="E87" s="157"/>
    </row>
    <row r="88" spans="1:5" x14ac:dyDescent="0.2">
      <c r="A88" s="108"/>
      <c r="B88" s="108"/>
      <c r="C88" s="108"/>
    </row>
    <row r="89" spans="1:5" x14ac:dyDescent="0.2">
      <c r="C89" s="11" t="s">
        <v>103</v>
      </c>
      <c r="D89" s="3" t="s">
        <v>102</v>
      </c>
      <c r="E89" s="3" t="s">
        <v>70</v>
      </c>
    </row>
    <row r="90" spans="1:5" x14ac:dyDescent="0.2">
      <c r="A90" s="155"/>
      <c r="B90" s="156"/>
      <c r="C90" s="9">
        <v>0</v>
      </c>
      <c r="D90" s="9">
        <f>'Anexo I - Jan'!C89</f>
        <v>0</v>
      </c>
      <c r="E90" s="9">
        <f>C90-D90</f>
        <v>0</v>
      </c>
    </row>
    <row r="91" spans="1:5" x14ac:dyDescent="0.2">
      <c r="A91" s="155" t="s">
        <v>366</v>
      </c>
      <c r="B91" s="156"/>
      <c r="C91" s="9">
        <v>632521953.23000002</v>
      </c>
      <c r="D91" s="9">
        <f>'Anexo I - Abr'!C91</f>
        <v>510991401.08999997</v>
      </c>
      <c r="E91" s="9">
        <f>C91-D91</f>
        <v>121530552.14000005</v>
      </c>
    </row>
    <row r="92" spans="1:5" x14ac:dyDescent="0.2">
      <c r="A92" s="155" t="s">
        <v>125</v>
      </c>
      <c r="B92" s="156"/>
      <c r="C92" s="9">
        <v>0</v>
      </c>
      <c r="D92" s="9">
        <f>'Anexo I - Jan'!C91</f>
        <v>0</v>
      </c>
      <c r="E92" s="9">
        <f>C92-D92</f>
        <v>0</v>
      </c>
    </row>
    <row r="93" spans="1:5" x14ac:dyDescent="0.2">
      <c r="A93" s="163" t="s">
        <v>96</v>
      </c>
      <c r="B93" s="163"/>
      <c r="C93" s="163"/>
      <c r="D93" s="163"/>
      <c r="E93" s="27">
        <f>SUM(E90:E92)</f>
        <v>121530552.14000005</v>
      </c>
    </row>
    <row r="94" spans="1:5" x14ac:dyDescent="0.2">
      <c r="A94" s="163" t="s">
        <v>97</v>
      </c>
      <c r="B94" s="163"/>
      <c r="C94" s="163"/>
      <c r="D94" s="163"/>
      <c r="E94" s="27">
        <f>$C$17+$C$48+$C$58+$C$65</f>
        <v>121530552.14</v>
      </c>
    </row>
    <row r="96" spans="1:5" x14ac:dyDescent="0.2">
      <c r="D96" s="86" t="s">
        <v>278</v>
      </c>
      <c r="E96" s="91">
        <v>121530552.14</v>
      </c>
    </row>
    <row r="97" spans="3:5" x14ac:dyDescent="0.2">
      <c r="C97"/>
      <c r="E97" s="88" t="str">
        <f>IF(E93=E94,"despesa OK","DIFERENÇA")</f>
        <v>despesa OK</v>
      </c>
    </row>
    <row r="98" spans="3:5" x14ac:dyDescent="0.2">
      <c r="E98" s="8">
        <f>E94-E96</f>
        <v>0</v>
      </c>
    </row>
  </sheetData>
  <mergeCells count="22">
    <mergeCell ref="A94:D94"/>
    <mergeCell ref="A85:C85"/>
    <mergeCell ref="A83:B83"/>
    <mergeCell ref="A48:B48"/>
    <mergeCell ref="A58:B58"/>
    <mergeCell ref="A65:B65"/>
    <mergeCell ref="A74:B74"/>
    <mergeCell ref="A66:C66"/>
    <mergeCell ref="A93:D93"/>
    <mergeCell ref="A90:B90"/>
    <mergeCell ref="A91:B91"/>
    <mergeCell ref="A87:E87"/>
    <mergeCell ref="A92:B92"/>
    <mergeCell ref="A84:C84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G100"/>
  <sheetViews>
    <sheetView showGridLines="0" view="pageBreakPreview" topLeftCell="A64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33" customWidth="1"/>
    <col min="5" max="5" width="15.7109375" customWidth="1"/>
    <col min="6" max="6" width="15.42578125" bestFit="1" customWidth="1"/>
  </cols>
  <sheetData>
    <row r="1" spans="1:3" x14ac:dyDescent="0.2">
      <c r="A1" s="164" t="s">
        <v>254</v>
      </c>
      <c r="B1" s="164"/>
      <c r="C1" s="164"/>
    </row>
    <row r="3" spans="1:3" x14ac:dyDescent="0.2">
      <c r="A3" s="2" t="s">
        <v>32</v>
      </c>
      <c r="B3" s="163" t="s">
        <v>255</v>
      </c>
      <c r="C3" s="163"/>
    </row>
    <row r="4" spans="1:3" x14ac:dyDescent="0.2">
      <c r="A4" s="2" t="s">
        <v>33</v>
      </c>
      <c r="B4" s="163" t="s">
        <v>256</v>
      </c>
      <c r="C4" s="163"/>
    </row>
    <row r="5" spans="1:3" x14ac:dyDescent="0.2">
      <c r="A5" s="2" t="s">
        <v>34</v>
      </c>
      <c r="B5" s="163" t="s">
        <v>367</v>
      </c>
      <c r="C5" s="163"/>
    </row>
    <row r="6" spans="1:3" x14ac:dyDescent="0.2">
      <c r="A6" s="2" t="s">
        <v>35</v>
      </c>
      <c r="B6" s="163" t="s">
        <v>257</v>
      </c>
      <c r="C6" s="163"/>
    </row>
    <row r="7" spans="1:3" x14ac:dyDescent="0.2">
      <c r="A7" s="2" t="s">
        <v>36</v>
      </c>
      <c r="B7" s="161" t="s">
        <v>384</v>
      </c>
      <c r="C7" s="161"/>
    </row>
    <row r="8" spans="1:3" x14ac:dyDescent="0.2">
      <c r="A8" s="2" t="s">
        <v>37</v>
      </c>
      <c r="B8" s="162">
        <v>42936</v>
      </c>
      <c r="C8" s="163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Access'!J2</f>
        <v>76251253.349999994</v>
      </c>
    </row>
    <row r="14" spans="1:3" x14ac:dyDescent="0.2">
      <c r="A14" s="2" t="s">
        <v>41</v>
      </c>
      <c r="B14" s="5" t="s">
        <v>2</v>
      </c>
      <c r="C14" s="10">
        <f>'Despesa - Access'!J3</f>
        <v>13980720.43</v>
      </c>
    </row>
    <row r="15" spans="1:3" x14ac:dyDescent="0.2">
      <c r="A15" s="2" t="s">
        <v>42</v>
      </c>
      <c r="B15" s="5" t="s">
        <v>266</v>
      </c>
      <c r="C15" s="10">
        <f>'Despesa - Access'!J4</f>
        <v>13764371.869999999</v>
      </c>
    </row>
    <row r="16" spans="1:3" ht="51" x14ac:dyDescent="0.2">
      <c r="A16" s="6" t="s">
        <v>43</v>
      </c>
      <c r="B16" s="5" t="s">
        <v>274</v>
      </c>
      <c r="C16" s="10">
        <v>6542.78</v>
      </c>
    </row>
    <row r="17" spans="1:5" x14ac:dyDescent="0.2">
      <c r="A17" s="165" t="s">
        <v>70</v>
      </c>
      <c r="B17" s="165"/>
      <c r="C17" s="10">
        <f>SUM(C13:C16)</f>
        <v>104002888.43000001</v>
      </c>
      <c r="D17" s="33">
        <v>103996345.65000001</v>
      </c>
      <c r="E17" s="119">
        <f>+C17-D17</f>
        <v>6542.7800000011921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272</v>
      </c>
    </row>
    <row r="22" spans="1:5" x14ac:dyDescent="0.2">
      <c r="A22" s="2" t="s">
        <v>40</v>
      </c>
      <c r="B22" s="2" t="s">
        <v>3</v>
      </c>
      <c r="C22" s="9">
        <f>'Despesa - Access'!J6</f>
        <v>112677.42</v>
      </c>
    </row>
    <row r="23" spans="1:5" x14ac:dyDescent="0.2">
      <c r="A23" s="2" t="s">
        <v>41</v>
      </c>
      <c r="B23" s="2" t="s">
        <v>4</v>
      </c>
      <c r="C23" s="9">
        <f>'Despesa - Access'!J7</f>
        <v>4021370.89</v>
      </c>
    </row>
    <row r="24" spans="1:5" x14ac:dyDescent="0.2">
      <c r="A24" s="2" t="s">
        <v>42</v>
      </c>
      <c r="B24" s="2" t="s">
        <v>5</v>
      </c>
      <c r="C24" s="9">
        <f>'Despesa - Access'!J8</f>
        <v>577374</v>
      </c>
    </row>
    <row r="25" spans="1:5" x14ac:dyDescent="0.2">
      <c r="A25" s="2" t="s">
        <v>43</v>
      </c>
      <c r="B25" s="2" t="s">
        <v>6</v>
      </c>
      <c r="C25" s="9">
        <f>'Despesa - Access'!J9</f>
        <v>1931109.47</v>
      </c>
    </row>
    <row r="26" spans="1:5" x14ac:dyDescent="0.2">
      <c r="A26" s="2" t="s">
        <v>44</v>
      </c>
      <c r="B26" s="2" t="s">
        <v>7</v>
      </c>
      <c r="C26" s="9">
        <f>'Despesa - Access'!J10</f>
        <v>100328.56</v>
      </c>
    </row>
    <row r="27" spans="1:5" x14ac:dyDescent="0.2">
      <c r="A27" s="2" t="s">
        <v>45</v>
      </c>
      <c r="B27" s="2" t="s">
        <v>67</v>
      </c>
      <c r="C27" s="9">
        <f>'Despesa - Access'!J11</f>
        <v>44335.14</v>
      </c>
    </row>
    <row r="28" spans="1:5" x14ac:dyDescent="0.2">
      <c r="A28" s="2" t="s">
        <v>46</v>
      </c>
      <c r="B28" s="2" t="s">
        <v>8</v>
      </c>
      <c r="C28" s="9">
        <f>'Despesa - Access'!J12</f>
        <v>3123499.05</v>
      </c>
    </row>
    <row r="29" spans="1:5" x14ac:dyDescent="0.2">
      <c r="A29" s="2" t="s">
        <v>47</v>
      </c>
      <c r="B29" s="2" t="s">
        <v>9</v>
      </c>
      <c r="C29" s="9">
        <f>'Despesa - Access'!J13</f>
        <v>2587452.9</v>
      </c>
    </row>
    <row r="30" spans="1:5" x14ac:dyDescent="0.2">
      <c r="A30" s="2" t="s">
        <v>48</v>
      </c>
      <c r="B30" s="2" t="s">
        <v>10</v>
      </c>
      <c r="C30" s="9">
        <f>'Despesa - Access'!J14</f>
        <v>165332.48000000001</v>
      </c>
    </row>
    <row r="31" spans="1:5" x14ac:dyDescent="0.2">
      <c r="A31" s="2" t="s">
        <v>49</v>
      </c>
      <c r="B31" s="2" t="s">
        <v>11</v>
      </c>
      <c r="C31" s="9">
        <f>'Despesa - Access'!J15</f>
        <v>511680.16</v>
      </c>
    </row>
    <row r="32" spans="1:5" x14ac:dyDescent="0.2">
      <c r="A32" s="2" t="s">
        <v>50</v>
      </c>
      <c r="B32" s="2" t="s">
        <v>12</v>
      </c>
      <c r="C32" s="9">
        <f>'Despesa - Access'!J16</f>
        <v>16082.9</v>
      </c>
    </row>
    <row r="33" spans="1:5" x14ac:dyDescent="0.2">
      <c r="A33" s="2" t="s">
        <v>51</v>
      </c>
      <c r="B33" s="2" t="s">
        <v>13</v>
      </c>
      <c r="C33" s="9">
        <f>'Despesa - Access'!J17</f>
        <v>738491.05</v>
      </c>
    </row>
    <row r="34" spans="1:5" ht="63.75" x14ac:dyDescent="0.2">
      <c r="A34" s="6" t="s">
        <v>52</v>
      </c>
      <c r="B34" s="7" t="s">
        <v>275</v>
      </c>
      <c r="C34" s="9">
        <f>'Despesa - Access'!J18</f>
        <v>208798.35</v>
      </c>
    </row>
    <row r="35" spans="1:5" x14ac:dyDescent="0.2">
      <c r="A35" s="2" t="s">
        <v>53</v>
      </c>
      <c r="B35" s="2" t="s">
        <v>14</v>
      </c>
      <c r="C35" s="9">
        <f>'Despesa - Access'!J19</f>
        <v>744004.23</v>
      </c>
    </row>
    <row r="36" spans="1:5" x14ac:dyDescent="0.2">
      <c r="A36" s="2" t="s">
        <v>54</v>
      </c>
      <c r="B36" s="2" t="s">
        <v>267</v>
      </c>
      <c r="C36" s="9">
        <f>'Despesa - Access'!J20</f>
        <v>2507292.61</v>
      </c>
    </row>
    <row r="37" spans="1:5" x14ac:dyDescent="0.2">
      <c r="A37" s="2" t="s">
        <v>55</v>
      </c>
      <c r="B37" s="2" t="s">
        <v>15</v>
      </c>
      <c r="C37" s="9">
        <f>'Despesa - Access'!J21</f>
        <v>2332.56</v>
      </c>
    </row>
    <row r="38" spans="1:5" ht="25.5" x14ac:dyDescent="0.2">
      <c r="A38" s="6" t="s">
        <v>56</v>
      </c>
      <c r="B38" s="26" t="s">
        <v>68</v>
      </c>
      <c r="C38" s="9">
        <f>'Despesa - Access'!J22</f>
        <v>788292.33</v>
      </c>
    </row>
    <row r="39" spans="1:5" x14ac:dyDescent="0.2">
      <c r="A39" s="2" t="s">
        <v>57</v>
      </c>
      <c r="B39" s="2" t="s">
        <v>16</v>
      </c>
      <c r="C39" s="9">
        <f>'Despesa - Access'!J23</f>
        <v>24594.98</v>
      </c>
    </row>
    <row r="40" spans="1:5" x14ac:dyDescent="0.2">
      <c r="A40" s="2" t="s">
        <v>58</v>
      </c>
      <c r="B40" s="2" t="s">
        <v>17</v>
      </c>
      <c r="C40" s="9">
        <f>'Despesa - Access'!J24</f>
        <v>152.99</v>
      </c>
    </row>
    <row r="41" spans="1:5" x14ac:dyDescent="0.2">
      <c r="A41" s="2" t="s">
        <v>59</v>
      </c>
      <c r="B41" s="2" t="s">
        <v>18</v>
      </c>
      <c r="C41" s="9">
        <f>'Despesa - Access'!J25</f>
        <v>0</v>
      </c>
    </row>
    <row r="42" spans="1:5" x14ac:dyDescent="0.2">
      <c r="A42" s="2" t="s">
        <v>60</v>
      </c>
      <c r="B42" s="2" t="s">
        <v>19</v>
      </c>
      <c r="C42" s="9">
        <f>'Despesa - Access'!J26</f>
        <v>1632</v>
      </c>
    </row>
    <row r="43" spans="1:5" x14ac:dyDescent="0.2">
      <c r="A43" s="2" t="s">
        <v>61</v>
      </c>
      <c r="B43" s="2" t="s">
        <v>20</v>
      </c>
      <c r="C43" s="9">
        <f>'Despesa - Access'!J27</f>
        <v>14172.86</v>
      </c>
    </row>
    <row r="44" spans="1:5" x14ac:dyDescent="0.2">
      <c r="A44" s="2" t="s">
        <v>62</v>
      </c>
      <c r="B44" s="2" t="s">
        <v>21</v>
      </c>
      <c r="C44" s="9">
        <f>'Despesa - Access'!J28</f>
        <v>0</v>
      </c>
    </row>
    <row r="45" spans="1:5" x14ac:dyDescent="0.2">
      <c r="A45" s="2" t="s">
        <v>63</v>
      </c>
      <c r="B45" s="2" t="s">
        <v>69</v>
      </c>
      <c r="C45" s="9">
        <f>'Despesa - Access'!J29</f>
        <v>17827.93</v>
      </c>
    </row>
    <row r="46" spans="1:5" x14ac:dyDescent="0.2">
      <c r="A46" s="2" t="s">
        <v>64</v>
      </c>
      <c r="B46" s="2" t="s">
        <v>22</v>
      </c>
      <c r="C46" s="9">
        <f>'Despesa - Access'!J30</f>
        <v>0</v>
      </c>
    </row>
    <row r="47" spans="1:5" x14ac:dyDescent="0.2">
      <c r="A47" s="2" t="s">
        <v>65</v>
      </c>
      <c r="B47" s="2" t="s">
        <v>23</v>
      </c>
      <c r="C47" s="9">
        <f>'Despesa - Access'!J31</f>
        <v>6099831.46</v>
      </c>
    </row>
    <row r="48" spans="1:5" x14ac:dyDescent="0.2">
      <c r="A48" s="165" t="s">
        <v>70</v>
      </c>
      <c r="B48" s="165"/>
      <c r="C48" s="10">
        <f>SUM(C22:C47)</f>
        <v>24338666.319999997</v>
      </c>
      <c r="D48" s="33">
        <v>24338666.32</v>
      </c>
      <c r="E48" s="119">
        <f>+C48-D48</f>
        <v>0</v>
      </c>
    </row>
    <row r="50" spans="1:5" x14ac:dyDescent="0.2">
      <c r="A50" s="4" t="s">
        <v>259</v>
      </c>
    </row>
    <row r="52" spans="1:5" x14ac:dyDescent="0.2">
      <c r="A52" s="3" t="s">
        <v>38</v>
      </c>
      <c r="B52" s="3" t="s">
        <v>39</v>
      </c>
      <c r="C52" s="11" t="s">
        <v>272</v>
      </c>
    </row>
    <row r="53" spans="1:5" x14ac:dyDescent="0.2">
      <c r="A53" s="2" t="s">
        <v>40</v>
      </c>
      <c r="B53" s="2" t="s">
        <v>25</v>
      </c>
      <c r="C53" s="9">
        <f>'Despesa - Access'!J32</f>
        <v>0</v>
      </c>
    </row>
    <row r="54" spans="1:5" x14ac:dyDescent="0.2">
      <c r="A54" s="2" t="s">
        <v>41</v>
      </c>
      <c r="B54" s="2" t="s">
        <v>26</v>
      </c>
      <c r="C54" s="9">
        <f>'Despesa - Access'!J33</f>
        <v>0</v>
      </c>
    </row>
    <row r="55" spans="1:5" x14ac:dyDescent="0.2">
      <c r="A55" s="2" t="s">
        <v>42</v>
      </c>
      <c r="B55" s="2" t="s">
        <v>66</v>
      </c>
      <c r="C55" s="9">
        <f>'Despesa - Access'!J34</f>
        <v>0</v>
      </c>
    </row>
    <row r="56" spans="1:5" x14ac:dyDescent="0.2">
      <c r="A56" s="2" t="s">
        <v>43</v>
      </c>
      <c r="B56" s="2" t="s">
        <v>27</v>
      </c>
      <c r="C56" s="9">
        <f>'Despesa - Access'!J35</f>
        <v>0</v>
      </c>
    </row>
    <row r="57" spans="1:5" x14ac:dyDescent="0.2">
      <c r="A57" s="2" t="s">
        <v>44</v>
      </c>
      <c r="B57" s="2" t="s">
        <v>28</v>
      </c>
      <c r="C57" s="9">
        <f>'Despesa - Access'!J36</f>
        <v>44709.94</v>
      </c>
    </row>
    <row r="58" spans="1:5" x14ac:dyDescent="0.2">
      <c r="A58" s="165" t="s">
        <v>70</v>
      </c>
      <c r="B58" s="165"/>
      <c r="C58" s="10">
        <f>SUM(C53:C57)</f>
        <v>44709.94</v>
      </c>
      <c r="D58" s="33">
        <v>44709.94</v>
      </c>
      <c r="E58" s="119">
        <f>+C58-D58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273</v>
      </c>
    </row>
    <row r="63" spans="1:5" x14ac:dyDescent="0.2">
      <c r="A63" s="2" t="s">
        <v>40</v>
      </c>
      <c r="B63" s="2" t="s">
        <v>30</v>
      </c>
      <c r="C63" s="9">
        <f>'Despesa - Access'!J37</f>
        <v>0</v>
      </c>
    </row>
    <row r="64" spans="1:5" x14ac:dyDescent="0.2">
      <c r="A64" s="2" t="s">
        <v>41</v>
      </c>
      <c r="B64" s="2" t="s">
        <v>31</v>
      </c>
      <c r="C64" s="9">
        <f>'Despesa - Access'!J38</f>
        <v>0</v>
      </c>
    </row>
    <row r="65" spans="1:3" x14ac:dyDescent="0.2">
      <c r="A65" s="165" t="s">
        <v>70</v>
      </c>
      <c r="B65" s="165"/>
      <c r="C65" s="10">
        <f>SUM(C63:C64)</f>
        <v>0</v>
      </c>
    </row>
    <row r="66" spans="1:3" x14ac:dyDescent="0.2">
      <c r="A66" s="154"/>
      <c r="B66" s="154"/>
      <c r="C66" s="15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273</v>
      </c>
    </row>
    <row r="70" spans="1:3" x14ac:dyDescent="0.2">
      <c r="A70" s="2" t="s">
        <v>40</v>
      </c>
      <c r="B70" s="2" t="s">
        <v>74</v>
      </c>
      <c r="C70" s="9">
        <f>'Financeiro - Access'!J2</f>
        <v>103997151.27</v>
      </c>
    </row>
    <row r="71" spans="1:3" x14ac:dyDescent="0.2">
      <c r="A71" s="2" t="s">
        <v>41</v>
      </c>
      <c r="B71" s="2" t="s">
        <v>75</v>
      </c>
      <c r="C71" s="9">
        <f>'Financeiro - Access'!J3</f>
        <v>24204721.359999999</v>
      </c>
    </row>
    <row r="72" spans="1:3" x14ac:dyDescent="0.2">
      <c r="A72" s="2" t="s">
        <v>42</v>
      </c>
      <c r="B72" s="2" t="s">
        <v>180</v>
      </c>
      <c r="C72" s="9">
        <f>'Financeiro - Access'!J4</f>
        <v>946395.41</v>
      </c>
    </row>
    <row r="73" spans="1:3" x14ac:dyDescent="0.2">
      <c r="A73" s="2" t="s">
        <v>43</v>
      </c>
      <c r="B73" s="2" t="s">
        <v>268</v>
      </c>
      <c r="C73" s="9">
        <f>'Financeiro - Access'!J5</f>
        <v>0</v>
      </c>
    </row>
    <row r="74" spans="1:3" x14ac:dyDescent="0.2">
      <c r="A74" s="165" t="s">
        <v>70</v>
      </c>
      <c r="B74" s="165"/>
      <c r="C74" s="10">
        <f>SUM(C70:C73)</f>
        <v>129148268.03999999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273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7" x14ac:dyDescent="0.2">
      <c r="A81" s="2" t="s">
        <v>42</v>
      </c>
      <c r="B81" s="2" t="s">
        <v>271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72" t="s">
        <v>70</v>
      </c>
      <c r="B83" s="172"/>
      <c r="C83" s="102">
        <f>SUM(C79:C82)</f>
        <v>0</v>
      </c>
    </row>
    <row r="84" spans="1:7" x14ac:dyDescent="0.2">
      <c r="A84" s="169" t="s">
        <v>323</v>
      </c>
      <c r="B84" s="169"/>
      <c r="C84" s="169"/>
    </row>
    <row r="85" spans="1:7" x14ac:dyDescent="0.2">
      <c r="A85" s="171" t="s">
        <v>389</v>
      </c>
      <c r="B85" s="171"/>
      <c r="C85" s="171"/>
    </row>
    <row r="86" spans="1:7" x14ac:dyDescent="0.2">
      <c r="A86" s="170"/>
      <c r="B86" s="170"/>
      <c r="C86" s="170"/>
      <c r="D86" s="132"/>
      <c r="E86" s="132"/>
    </row>
    <row r="87" spans="1:7" x14ac:dyDescent="0.2">
      <c r="A87" s="157" t="s">
        <v>98</v>
      </c>
      <c r="B87" s="157"/>
      <c r="C87" s="157"/>
      <c r="D87" s="157"/>
      <c r="E87" s="157"/>
    </row>
    <row r="88" spans="1:7" x14ac:dyDescent="0.2">
      <c r="A88" s="109"/>
      <c r="B88" s="109"/>
      <c r="C88" s="109"/>
    </row>
    <row r="89" spans="1:7" x14ac:dyDescent="0.2">
      <c r="C89" s="11" t="s">
        <v>104</v>
      </c>
      <c r="D89" s="120" t="s">
        <v>103</v>
      </c>
      <c r="E89" s="3" t="s">
        <v>70</v>
      </c>
    </row>
    <row r="90" spans="1:7" x14ac:dyDescent="0.2">
      <c r="A90" s="155"/>
      <c r="B90" s="156"/>
      <c r="C90" s="9"/>
      <c r="D90" s="121">
        <f>'Anexo I - Jan'!C89</f>
        <v>0</v>
      </c>
      <c r="E90" s="9">
        <f>C90-D90</f>
        <v>0</v>
      </c>
    </row>
    <row r="91" spans="1:7" x14ac:dyDescent="0.2">
      <c r="A91" s="155" t="s">
        <v>366</v>
      </c>
      <c r="B91" s="156"/>
      <c r="C91" s="9">
        <v>760901675.13999999</v>
      </c>
      <c r="D91" s="121">
        <f>'Anexo I - Mai'!C91</f>
        <v>632521953.23000002</v>
      </c>
      <c r="E91" s="9">
        <f>C91-D91</f>
        <v>128379721.90999997</v>
      </c>
    </row>
    <row r="92" spans="1:7" x14ac:dyDescent="0.2">
      <c r="A92" s="155" t="s">
        <v>125</v>
      </c>
      <c r="B92" s="156"/>
      <c r="C92" s="9">
        <v>0</v>
      </c>
      <c r="D92" s="121">
        <f>'Anexo I - Jan'!C91</f>
        <v>0</v>
      </c>
      <c r="E92" s="9">
        <f>C92-D92</f>
        <v>0</v>
      </c>
    </row>
    <row r="93" spans="1:7" x14ac:dyDescent="0.2">
      <c r="A93" s="163" t="s">
        <v>96</v>
      </c>
      <c r="B93" s="163"/>
      <c r="C93" s="163"/>
      <c r="D93" s="163"/>
      <c r="E93" s="27">
        <f>SUM(E90:E92)</f>
        <v>128379721.90999997</v>
      </c>
      <c r="F93" s="8"/>
      <c r="G93" s="90"/>
    </row>
    <row r="94" spans="1:7" x14ac:dyDescent="0.2">
      <c r="A94" s="163" t="s">
        <v>97</v>
      </c>
      <c r="B94" s="163"/>
      <c r="C94" s="163"/>
      <c r="D94" s="163"/>
      <c r="E94" s="27">
        <f>$C$17+$C$48+$C$58+$C$65</f>
        <v>128386264.69</v>
      </c>
    </row>
    <row r="96" spans="1:7" x14ac:dyDescent="0.2">
      <c r="D96" s="122" t="s">
        <v>278</v>
      </c>
      <c r="E96" s="91">
        <v>128379721.91</v>
      </c>
      <c r="F96" s="93">
        <f>IF(E96="DIFERENÇA",E93-E92,0)</f>
        <v>0</v>
      </c>
    </row>
    <row r="97" spans="3:5" x14ac:dyDescent="0.2">
      <c r="C97"/>
      <c r="E97" s="88" t="str">
        <f>IF(E93=E94,"despesa OK","DIFERENÇA")</f>
        <v>DIFERENÇA</v>
      </c>
    </row>
    <row r="98" spans="3:5" x14ac:dyDescent="0.2">
      <c r="E98" s="8">
        <f>E94-E96</f>
        <v>6542.7800000011921</v>
      </c>
    </row>
    <row r="99" spans="3:5" x14ac:dyDescent="0.2">
      <c r="E99" t="s">
        <v>322</v>
      </c>
    </row>
    <row r="100" spans="3:5" x14ac:dyDescent="0.2">
      <c r="E100" s="33"/>
    </row>
  </sheetData>
  <mergeCells count="23">
    <mergeCell ref="A84:C84"/>
    <mergeCell ref="A17:B17"/>
    <mergeCell ref="A83:B83"/>
    <mergeCell ref="A48:B48"/>
    <mergeCell ref="A58:B58"/>
    <mergeCell ref="A65:B65"/>
    <mergeCell ref="A74:B74"/>
    <mergeCell ref="A87:E87"/>
    <mergeCell ref="A92:B92"/>
    <mergeCell ref="A94:D94"/>
    <mergeCell ref="A66:C66"/>
    <mergeCell ref="A1:C1"/>
    <mergeCell ref="B3:C3"/>
    <mergeCell ref="B4:C4"/>
    <mergeCell ref="B5:C5"/>
    <mergeCell ref="B6:C6"/>
    <mergeCell ref="B7:C7"/>
    <mergeCell ref="A93:D93"/>
    <mergeCell ref="A90:B90"/>
    <mergeCell ref="A91:B91"/>
    <mergeCell ref="B8:C8"/>
    <mergeCell ref="A86:C86"/>
    <mergeCell ref="A85:C8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G99"/>
  <sheetViews>
    <sheetView showGridLines="0" view="pageBreakPreview" topLeftCell="A69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3.85546875" bestFit="1" customWidth="1"/>
    <col min="7" max="7" width="16.140625" bestFit="1" customWidth="1"/>
  </cols>
  <sheetData>
    <row r="1" spans="1:3" x14ac:dyDescent="0.2">
      <c r="A1" s="164" t="s">
        <v>254</v>
      </c>
      <c r="B1" s="164"/>
      <c r="C1" s="164"/>
    </row>
    <row r="3" spans="1:3" x14ac:dyDescent="0.2">
      <c r="A3" s="2" t="s">
        <v>32</v>
      </c>
      <c r="B3" s="163" t="s">
        <v>255</v>
      </c>
      <c r="C3" s="163"/>
    </row>
    <row r="4" spans="1:3" x14ac:dyDescent="0.2">
      <c r="A4" s="2" t="s">
        <v>33</v>
      </c>
      <c r="B4" s="163" t="s">
        <v>256</v>
      </c>
      <c r="C4" s="163"/>
    </row>
    <row r="5" spans="1:3" x14ac:dyDescent="0.2">
      <c r="A5" s="2" t="s">
        <v>34</v>
      </c>
      <c r="B5" s="163" t="s">
        <v>367</v>
      </c>
      <c r="C5" s="163"/>
    </row>
    <row r="6" spans="1:3" x14ac:dyDescent="0.2">
      <c r="A6" s="2" t="s">
        <v>35</v>
      </c>
      <c r="B6" s="163" t="s">
        <v>257</v>
      </c>
      <c r="C6" s="163"/>
    </row>
    <row r="7" spans="1:3" x14ac:dyDescent="0.2">
      <c r="A7" s="2" t="s">
        <v>36</v>
      </c>
      <c r="B7" s="160" t="s">
        <v>385</v>
      </c>
      <c r="C7" s="161"/>
    </row>
    <row r="8" spans="1:3" x14ac:dyDescent="0.2">
      <c r="A8" s="2" t="s">
        <v>37</v>
      </c>
      <c r="B8" s="162">
        <v>42965</v>
      </c>
      <c r="C8" s="163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Access'!K2</f>
        <v>72687387.390000001</v>
      </c>
    </row>
    <row r="14" spans="1:3" x14ac:dyDescent="0.2">
      <c r="A14" s="2" t="s">
        <v>41</v>
      </c>
      <c r="B14" s="5" t="s">
        <v>2</v>
      </c>
      <c r="C14" s="10">
        <f>'Despesa - Access'!K3</f>
        <v>14081119.720000001</v>
      </c>
    </row>
    <row r="15" spans="1:3" x14ac:dyDescent="0.2">
      <c r="A15" s="2" t="s">
        <v>42</v>
      </c>
      <c r="B15" s="5" t="s">
        <v>266</v>
      </c>
      <c r="C15" s="10">
        <f>'Despesa - Access'!K4</f>
        <v>13455009.710000001</v>
      </c>
    </row>
    <row r="16" spans="1:3" ht="51" x14ac:dyDescent="0.2">
      <c r="A16" s="6" t="s">
        <v>43</v>
      </c>
      <c r="B16" s="5" t="s">
        <v>274</v>
      </c>
      <c r="C16" s="10">
        <v>107470.19</v>
      </c>
    </row>
    <row r="17" spans="1:5" x14ac:dyDescent="0.2">
      <c r="A17" s="165" t="s">
        <v>70</v>
      </c>
      <c r="B17" s="165"/>
      <c r="C17" s="10">
        <f>SUM(C13:C16)</f>
        <v>100330987.00999999</v>
      </c>
      <c r="D17" s="8">
        <v>-100223516.81999999</v>
      </c>
      <c r="E17" s="8">
        <f>+D17+C17</f>
        <v>107470.18999999762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273</v>
      </c>
    </row>
    <row r="22" spans="1:5" x14ac:dyDescent="0.2">
      <c r="A22" s="2" t="s">
        <v>40</v>
      </c>
      <c r="B22" s="2" t="s">
        <v>3</v>
      </c>
      <c r="C22" s="9">
        <f>'Despesa - Access'!K6</f>
        <v>185420.4</v>
      </c>
    </row>
    <row r="23" spans="1:5" x14ac:dyDescent="0.2">
      <c r="A23" s="2" t="s">
        <v>41</v>
      </c>
      <c r="B23" s="2" t="s">
        <v>4</v>
      </c>
      <c r="C23" s="9">
        <f>'Despesa - Access'!K7</f>
        <v>4000614.1</v>
      </c>
    </row>
    <row r="24" spans="1:5" x14ac:dyDescent="0.2">
      <c r="A24" s="2" t="s">
        <v>42</v>
      </c>
      <c r="B24" s="2" t="s">
        <v>5</v>
      </c>
      <c r="C24" s="9">
        <f>'Despesa - Access'!K8</f>
        <v>574578</v>
      </c>
    </row>
    <row r="25" spans="1:5" x14ac:dyDescent="0.2">
      <c r="A25" s="2" t="s">
        <v>43</v>
      </c>
      <c r="B25" s="2" t="s">
        <v>6</v>
      </c>
      <c r="C25" s="9">
        <f>'Despesa - Access'!K9</f>
        <v>1909720.89</v>
      </c>
    </row>
    <row r="26" spans="1:5" x14ac:dyDescent="0.2">
      <c r="A26" s="2" t="s">
        <v>44</v>
      </c>
      <c r="B26" s="2" t="s">
        <v>7</v>
      </c>
      <c r="C26" s="9">
        <f>'Despesa - Access'!K10</f>
        <v>166677.23000000001</v>
      </c>
    </row>
    <row r="27" spans="1:5" x14ac:dyDescent="0.2">
      <c r="A27" s="2" t="s">
        <v>45</v>
      </c>
      <c r="B27" s="2" t="s">
        <v>67</v>
      </c>
      <c r="C27" s="9">
        <f>'Despesa - Access'!K11</f>
        <v>25964.46</v>
      </c>
    </row>
    <row r="28" spans="1:5" x14ac:dyDescent="0.2">
      <c r="A28" s="2" t="s">
        <v>46</v>
      </c>
      <c r="B28" s="2" t="s">
        <v>8</v>
      </c>
      <c r="C28" s="9">
        <f>'Despesa - Access'!K12</f>
        <v>2112829.52</v>
      </c>
    </row>
    <row r="29" spans="1:5" x14ac:dyDescent="0.2">
      <c r="A29" s="2" t="s">
        <v>47</v>
      </c>
      <c r="B29" s="2" t="s">
        <v>9</v>
      </c>
      <c r="C29" s="9">
        <f>'Despesa - Access'!K13</f>
        <v>2618488.5299999998</v>
      </c>
    </row>
    <row r="30" spans="1:5" x14ac:dyDescent="0.2">
      <c r="A30" s="2" t="s">
        <v>48</v>
      </c>
      <c r="B30" s="2" t="s">
        <v>10</v>
      </c>
      <c r="C30" s="9">
        <f>'Despesa - Access'!K14</f>
        <v>183127.07</v>
      </c>
    </row>
    <row r="31" spans="1:5" x14ac:dyDescent="0.2">
      <c r="A31" s="2" t="s">
        <v>49</v>
      </c>
      <c r="B31" s="2" t="s">
        <v>11</v>
      </c>
      <c r="C31" s="9">
        <f>'Despesa - Access'!K15</f>
        <v>537162.09</v>
      </c>
    </row>
    <row r="32" spans="1:5" x14ac:dyDescent="0.2">
      <c r="A32" s="2" t="s">
        <v>50</v>
      </c>
      <c r="B32" s="2" t="s">
        <v>12</v>
      </c>
      <c r="C32" s="9">
        <f>'Despesa - Access'!K16</f>
        <v>58195.76</v>
      </c>
    </row>
    <row r="33" spans="1:5" x14ac:dyDescent="0.2">
      <c r="A33" s="2" t="s">
        <v>51</v>
      </c>
      <c r="B33" s="2" t="s">
        <v>13</v>
      </c>
      <c r="C33" s="9">
        <f>'Despesa - Access'!K17</f>
        <v>828981.74</v>
      </c>
    </row>
    <row r="34" spans="1:5" ht="63.75" x14ac:dyDescent="0.2">
      <c r="A34" s="6" t="s">
        <v>52</v>
      </c>
      <c r="B34" s="7" t="s">
        <v>276</v>
      </c>
      <c r="C34" s="9">
        <f>'Despesa - Access'!K18</f>
        <v>392988.74</v>
      </c>
    </row>
    <row r="35" spans="1:5" x14ac:dyDescent="0.2">
      <c r="A35" s="2" t="s">
        <v>53</v>
      </c>
      <c r="B35" s="2" t="s">
        <v>14</v>
      </c>
      <c r="C35" s="9">
        <f>'Despesa - Access'!K19</f>
        <v>1459564.15</v>
      </c>
    </row>
    <row r="36" spans="1:5" x14ac:dyDescent="0.2">
      <c r="A36" s="2" t="s">
        <v>54</v>
      </c>
      <c r="B36" s="2" t="s">
        <v>267</v>
      </c>
      <c r="C36" s="9">
        <f>'Despesa - Access'!K20</f>
        <v>2841797.46</v>
      </c>
    </row>
    <row r="37" spans="1:5" x14ac:dyDescent="0.2">
      <c r="A37" s="2" t="s">
        <v>55</v>
      </c>
      <c r="B37" s="2" t="s">
        <v>15</v>
      </c>
      <c r="C37" s="9">
        <f>'Despesa - Access'!K21</f>
        <v>12131.04</v>
      </c>
    </row>
    <row r="38" spans="1:5" ht="25.5" x14ac:dyDescent="0.2">
      <c r="A38" s="6" t="s">
        <v>56</v>
      </c>
      <c r="B38" s="26" t="s">
        <v>68</v>
      </c>
      <c r="C38" s="9">
        <f>'Despesa - Access'!K22</f>
        <v>875464.22</v>
      </c>
    </row>
    <row r="39" spans="1:5" x14ac:dyDescent="0.2">
      <c r="A39" s="2" t="s">
        <v>57</v>
      </c>
      <c r="B39" s="2" t="s">
        <v>16</v>
      </c>
      <c r="C39" s="9">
        <f>'Despesa - Access'!K23</f>
        <v>34404.32</v>
      </c>
    </row>
    <row r="40" spans="1:5" x14ac:dyDescent="0.2">
      <c r="A40" s="2" t="s">
        <v>58</v>
      </c>
      <c r="B40" s="2" t="s">
        <v>17</v>
      </c>
      <c r="C40" s="9">
        <f>'Despesa - Access'!K24</f>
        <v>217.36</v>
      </c>
    </row>
    <row r="41" spans="1:5" x14ac:dyDescent="0.2">
      <c r="A41" s="2" t="s">
        <v>59</v>
      </c>
      <c r="B41" s="2" t="s">
        <v>18</v>
      </c>
      <c r="C41" s="9">
        <f>'Despesa - Access'!K25</f>
        <v>0</v>
      </c>
    </row>
    <row r="42" spans="1:5" x14ac:dyDescent="0.2">
      <c r="A42" s="2" t="s">
        <v>60</v>
      </c>
      <c r="B42" s="2" t="s">
        <v>19</v>
      </c>
      <c r="C42" s="9">
        <f>'Despesa - Access'!K26</f>
        <v>0</v>
      </c>
    </row>
    <row r="43" spans="1:5" x14ac:dyDescent="0.2">
      <c r="A43" s="2" t="s">
        <v>61</v>
      </c>
      <c r="B43" s="2" t="s">
        <v>20</v>
      </c>
      <c r="C43" s="9">
        <f>'Despesa - Access'!K27</f>
        <v>10367.64</v>
      </c>
    </row>
    <row r="44" spans="1:5" x14ac:dyDescent="0.2">
      <c r="A44" s="2" t="s">
        <v>62</v>
      </c>
      <c r="B44" s="2" t="s">
        <v>21</v>
      </c>
      <c r="C44" s="9">
        <f>'Despesa - Access'!K28</f>
        <v>41074.559999999998</v>
      </c>
    </row>
    <row r="45" spans="1:5" x14ac:dyDescent="0.2">
      <c r="A45" s="2" t="s">
        <v>63</v>
      </c>
      <c r="B45" s="2" t="s">
        <v>69</v>
      </c>
      <c r="C45" s="9">
        <f>'Despesa - Access'!K29</f>
        <v>279747.98</v>
      </c>
    </row>
    <row r="46" spans="1:5" x14ac:dyDescent="0.2">
      <c r="A46" s="2" t="s">
        <v>64</v>
      </c>
      <c r="B46" s="2" t="s">
        <v>22</v>
      </c>
      <c r="C46" s="9">
        <f>'Despesa - Access'!K30</f>
        <v>0</v>
      </c>
    </row>
    <row r="47" spans="1:5" x14ac:dyDescent="0.2">
      <c r="A47" s="2" t="s">
        <v>65</v>
      </c>
      <c r="B47" s="2" t="s">
        <v>23</v>
      </c>
      <c r="C47" s="9">
        <f>'Despesa - Access'!K31</f>
        <v>5893751.6100000003</v>
      </c>
    </row>
    <row r="48" spans="1:5" x14ac:dyDescent="0.2">
      <c r="A48" s="165" t="s">
        <v>70</v>
      </c>
      <c r="B48" s="165"/>
      <c r="C48" s="10">
        <f>SUM(C22:C47)</f>
        <v>25043268.869999997</v>
      </c>
      <c r="D48" s="8">
        <f>-25043268.87</f>
        <v>-25043268.870000001</v>
      </c>
      <c r="E48" s="8">
        <f>+D48+C48</f>
        <v>0</v>
      </c>
    </row>
    <row r="50" spans="1:5" x14ac:dyDescent="0.2">
      <c r="A50" s="4" t="s">
        <v>259</v>
      </c>
    </row>
    <row r="52" spans="1:5" x14ac:dyDescent="0.2">
      <c r="A52" s="3" t="s">
        <v>38</v>
      </c>
      <c r="B52" s="3" t="s">
        <v>39</v>
      </c>
      <c r="C52" s="11" t="s">
        <v>272</v>
      </c>
    </row>
    <row r="53" spans="1:5" x14ac:dyDescent="0.2">
      <c r="A53" s="2" t="s">
        <v>40</v>
      </c>
      <c r="B53" s="2" t="s">
        <v>25</v>
      </c>
      <c r="C53" s="9">
        <f>'Despesa - Access'!K32</f>
        <v>0</v>
      </c>
    </row>
    <row r="54" spans="1:5" x14ac:dyDescent="0.2">
      <c r="A54" s="2" t="s">
        <v>41</v>
      </c>
      <c r="B54" s="2" t="s">
        <v>26</v>
      </c>
      <c r="C54" s="9">
        <f>'Despesa - Access'!K33</f>
        <v>0</v>
      </c>
    </row>
    <row r="55" spans="1:5" x14ac:dyDescent="0.2">
      <c r="A55" s="2" t="s">
        <v>42</v>
      </c>
      <c r="B55" s="2" t="s">
        <v>66</v>
      </c>
      <c r="C55" s="9">
        <f>'Despesa - Access'!K34</f>
        <v>0</v>
      </c>
    </row>
    <row r="56" spans="1:5" x14ac:dyDescent="0.2">
      <c r="A56" s="2" t="s">
        <v>43</v>
      </c>
      <c r="B56" s="2" t="s">
        <v>27</v>
      </c>
      <c r="C56" s="9">
        <f>'Despesa - Access'!K35</f>
        <v>0</v>
      </c>
    </row>
    <row r="57" spans="1:5" x14ac:dyDescent="0.2">
      <c r="A57" s="2" t="s">
        <v>44</v>
      </c>
      <c r="B57" s="2" t="s">
        <v>28</v>
      </c>
      <c r="C57" s="9">
        <f>'Despesa - Access'!K36</f>
        <v>230651.25</v>
      </c>
    </row>
    <row r="58" spans="1:5" x14ac:dyDescent="0.2">
      <c r="A58" s="165" t="s">
        <v>70</v>
      </c>
      <c r="B58" s="165"/>
      <c r="C58" s="10">
        <f>SUM(C53:C57)</f>
        <v>230651.25</v>
      </c>
      <c r="D58" s="33">
        <v>-230651.25</v>
      </c>
      <c r="E58" s="8">
        <f>+D58+C58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273</v>
      </c>
    </row>
    <row r="63" spans="1:5" x14ac:dyDescent="0.2">
      <c r="A63" s="2" t="s">
        <v>40</v>
      </c>
      <c r="B63" s="2" t="s">
        <v>30</v>
      </c>
      <c r="C63" s="9">
        <f>'Despesa - Access'!K37</f>
        <v>0</v>
      </c>
    </row>
    <row r="64" spans="1:5" x14ac:dyDescent="0.2">
      <c r="A64" s="2" t="s">
        <v>41</v>
      </c>
      <c r="B64" s="2" t="s">
        <v>31</v>
      </c>
      <c r="C64" s="9">
        <f>'Despesa - Access'!K38</f>
        <v>0</v>
      </c>
    </row>
    <row r="65" spans="1:3" x14ac:dyDescent="0.2">
      <c r="A65" s="165" t="s">
        <v>70</v>
      </c>
      <c r="B65" s="165"/>
      <c r="C65" s="10">
        <f>SUM(C63:C64)</f>
        <v>0</v>
      </c>
    </row>
    <row r="66" spans="1:3" x14ac:dyDescent="0.2">
      <c r="A66" s="154"/>
      <c r="B66" s="154"/>
      <c r="C66" s="15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273</v>
      </c>
    </row>
    <row r="70" spans="1:3" x14ac:dyDescent="0.2">
      <c r="A70" s="2" t="s">
        <v>40</v>
      </c>
      <c r="B70" s="2" t="s">
        <v>74</v>
      </c>
      <c r="C70" s="9">
        <f>'Financeiro - Access'!K2</f>
        <v>100268525.45999999</v>
      </c>
    </row>
    <row r="71" spans="1:3" x14ac:dyDescent="0.2">
      <c r="A71" s="2" t="s">
        <v>41</v>
      </c>
      <c r="B71" s="2" t="s">
        <v>75</v>
      </c>
      <c r="C71" s="9">
        <f>'Financeiro - Access'!K3</f>
        <v>23990267.890000001</v>
      </c>
    </row>
    <row r="72" spans="1:3" x14ac:dyDescent="0.2">
      <c r="A72" s="2" t="s">
        <v>42</v>
      </c>
      <c r="B72" s="2" t="s">
        <v>180</v>
      </c>
      <c r="C72" s="9">
        <f>'Financeiro - Access'!K4</f>
        <v>13680</v>
      </c>
    </row>
    <row r="73" spans="1:3" x14ac:dyDescent="0.2">
      <c r="A73" s="2" t="s">
        <v>43</v>
      </c>
      <c r="B73" s="2" t="s">
        <v>268</v>
      </c>
      <c r="C73" s="9">
        <f>'Financeiro - Access'!K5</f>
        <v>0</v>
      </c>
    </row>
    <row r="74" spans="1:3" x14ac:dyDescent="0.2">
      <c r="A74" s="165" t="s">
        <v>70</v>
      </c>
      <c r="B74" s="165"/>
      <c r="C74" s="10">
        <f>SUM(C70:C73)</f>
        <v>124272473.34999999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273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7" x14ac:dyDescent="0.2">
      <c r="A81" s="2" t="s">
        <v>42</v>
      </c>
      <c r="B81" s="2" t="s">
        <v>271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5" t="s">
        <v>70</v>
      </c>
      <c r="B83" s="165"/>
      <c r="C83" s="10">
        <f>SUM(C79:C82)</f>
        <v>0</v>
      </c>
    </row>
    <row r="84" spans="1:7" x14ac:dyDescent="0.2">
      <c r="A84" s="169" t="s">
        <v>323</v>
      </c>
      <c r="B84" s="169"/>
      <c r="C84" s="169"/>
    </row>
    <row r="85" spans="1:7" x14ac:dyDescent="0.2">
      <c r="A85" s="170" t="s">
        <v>389</v>
      </c>
      <c r="B85" s="170"/>
      <c r="C85" s="170"/>
    </row>
    <row r="86" spans="1:7" x14ac:dyDescent="0.2">
      <c r="A86" s="170"/>
      <c r="B86" s="170"/>
      <c r="C86" s="170"/>
    </row>
    <row r="87" spans="1:7" x14ac:dyDescent="0.2">
      <c r="A87" s="157" t="s">
        <v>98</v>
      </c>
      <c r="B87" s="157"/>
      <c r="C87" s="157"/>
      <c r="D87" s="157"/>
      <c r="E87" s="157"/>
    </row>
    <row r="88" spans="1:7" x14ac:dyDescent="0.2">
      <c r="A88" s="110"/>
      <c r="B88" s="110"/>
      <c r="C88" s="110"/>
    </row>
    <row r="89" spans="1:7" x14ac:dyDescent="0.2">
      <c r="C89" s="11" t="s">
        <v>105</v>
      </c>
      <c r="D89" s="3" t="s">
        <v>104</v>
      </c>
      <c r="E89" s="3" t="s">
        <v>70</v>
      </c>
    </row>
    <row r="90" spans="1:7" x14ac:dyDescent="0.2">
      <c r="A90" s="155"/>
      <c r="B90" s="156"/>
      <c r="C90" s="9">
        <v>0</v>
      </c>
      <c r="D90" s="9">
        <f>'Anexo I - Jan'!C89</f>
        <v>0</v>
      </c>
      <c r="E90" s="9">
        <f>C90-D90</f>
        <v>0</v>
      </c>
    </row>
    <row r="91" spans="1:7" x14ac:dyDescent="0.2">
      <c r="A91" s="155" t="s">
        <v>366</v>
      </c>
      <c r="B91" s="156"/>
      <c r="C91" s="9">
        <f>886399112.08</f>
        <v>886399112.08000004</v>
      </c>
      <c r="D91" s="9">
        <f>'Anexo I - Jun'!C91</f>
        <v>760901675.13999999</v>
      </c>
      <c r="E91" s="9">
        <f>C91-D91</f>
        <v>125497436.94000006</v>
      </c>
    </row>
    <row r="92" spans="1:7" x14ac:dyDescent="0.2">
      <c r="A92" s="155" t="s">
        <v>125</v>
      </c>
      <c r="B92" s="156"/>
      <c r="C92" s="9">
        <v>0</v>
      </c>
      <c r="D92" s="9">
        <f>'Anexo I - Jan'!C91</f>
        <v>0</v>
      </c>
      <c r="E92" s="9">
        <f>C92-D92</f>
        <v>0</v>
      </c>
    </row>
    <row r="93" spans="1:7" x14ac:dyDescent="0.2">
      <c r="A93" s="163" t="s">
        <v>96</v>
      </c>
      <c r="B93" s="163"/>
      <c r="C93" s="163"/>
      <c r="D93" s="163"/>
      <c r="E93" s="27">
        <f>SUM(E90:E92)</f>
        <v>125497436.94000006</v>
      </c>
      <c r="F93" s="8">
        <f>+E94-E93</f>
        <v>107470.18999993801</v>
      </c>
      <c r="G93" s="90" t="s">
        <v>279</v>
      </c>
    </row>
    <row r="94" spans="1:7" x14ac:dyDescent="0.2">
      <c r="A94" s="163" t="s">
        <v>97</v>
      </c>
      <c r="B94" s="163"/>
      <c r="C94" s="163"/>
      <c r="D94" s="163"/>
      <c r="E94" s="27">
        <f>$C$17+$C$48+$C$58+$C$65</f>
        <v>125604907.13</v>
      </c>
    </row>
    <row r="96" spans="1:7" x14ac:dyDescent="0.2">
      <c r="D96" s="86" t="s">
        <v>278</v>
      </c>
      <c r="E96" s="91">
        <f>100223516.82+25043268.87+230651.25</f>
        <v>125497436.94</v>
      </c>
      <c r="F96" s="93">
        <f>IF(E96="DIFERENÇA",E93-E92,0)</f>
        <v>0</v>
      </c>
    </row>
    <row r="97" spans="3:5" x14ac:dyDescent="0.2">
      <c r="C97"/>
      <c r="E97" s="88" t="str">
        <f>IF(E93=E94,"despesa OK","DIFERENÇA")</f>
        <v>DIFERENÇA</v>
      </c>
    </row>
    <row r="98" spans="3:5" x14ac:dyDescent="0.2">
      <c r="E98" s="8">
        <f>E94-E96</f>
        <v>107470.18999999762</v>
      </c>
    </row>
    <row r="99" spans="3:5" x14ac:dyDescent="0.2">
      <c r="E99" t="s">
        <v>322</v>
      </c>
    </row>
  </sheetData>
  <mergeCells count="23"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74:B74"/>
    <mergeCell ref="A94:D94"/>
    <mergeCell ref="A87:E87"/>
    <mergeCell ref="A90:B90"/>
    <mergeCell ref="A91:B91"/>
    <mergeCell ref="A92:B92"/>
    <mergeCell ref="A93:D93"/>
    <mergeCell ref="A86:C86"/>
    <mergeCell ref="A85:C85"/>
    <mergeCell ref="A83:B83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G101"/>
  <sheetViews>
    <sheetView showGridLines="0" view="pageBreakPreview" topLeftCell="A61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93" customWidth="1"/>
    <col min="6" max="6" width="13.85546875" bestFit="1" customWidth="1"/>
  </cols>
  <sheetData>
    <row r="1" spans="1:3" x14ac:dyDescent="0.2">
      <c r="A1" s="164" t="s">
        <v>254</v>
      </c>
      <c r="B1" s="164"/>
      <c r="C1" s="164"/>
    </row>
    <row r="3" spans="1:3" x14ac:dyDescent="0.2">
      <c r="A3" s="2" t="s">
        <v>32</v>
      </c>
      <c r="B3" s="163" t="s">
        <v>255</v>
      </c>
      <c r="C3" s="163"/>
    </row>
    <row r="4" spans="1:3" x14ac:dyDescent="0.2">
      <c r="A4" s="2" t="s">
        <v>33</v>
      </c>
      <c r="B4" s="163" t="s">
        <v>256</v>
      </c>
      <c r="C4" s="163"/>
    </row>
    <row r="5" spans="1:3" x14ac:dyDescent="0.2">
      <c r="A5" s="2" t="s">
        <v>34</v>
      </c>
      <c r="B5" s="163" t="s">
        <v>367</v>
      </c>
      <c r="C5" s="163"/>
    </row>
    <row r="6" spans="1:3" x14ac:dyDescent="0.2">
      <c r="A6" s="2" t="s">
        <v>35</v>
      </c>
      <c r="B6" s="163" t="s">
        <v>257</v>
      </c>
      <c r="C6" s="163"/>
    </row>
    <row r="7" spans="1:3" x14ac:dyDescent="0.2">
      <c r="A7" s="2" t="s">
        <v>36</v>
      </c>
      <c r="B7" s="161" t="s">
        <v>386</v>
      </c>
      <c r="C7" s="161"/>
    </row>
    <row r="8" spans="1:3" x14ac:dyDescent="0.2">
      <c r="A8" s="2" t="s">
        <v>37</v>
      </c>
      <c r="B8" s="162">
        <v>42998</v>
      </c>
      <c r="C8" s="163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Access'!L2</f>
        <v>73240117.5</v>
      </c>
    </row>
    <row r="14" spans="1:3" x14ac:dyDescent="0.2">
      <c r="A14" s="2" t="s">
        <v>41</v>
      </c>
      <c r="B14" s="5" t="s">
        <v>2</v>
      </c>
      <c r="C14" s="10">
        <f>'Despesa - Access'!L3</f>
        <v>14170908.300000001</v>
      </c>
    </row>
    <row r="15" spans="1:3" x14ac:dyDescent="0.2">
      <c r="A15" s="2" t="s">
        <v>42</v>
      </c>
      <c r="B15" s="5" t="s">
        <v>266</v>
      </c>
      <c r="C15" s="10">
        <f>'Despesa - Access'!L4</f>
        <v>13561132.66</v>
      </c>
    </row>
    <row r="16" spans="1:3" ht="51" x14ac:dyDescent="0.2">
      <c r="A16" s="6" t="s">
        <v>43</v>
      </c>
      <c r="B16" s="5" t="s">
        <v>274</v>
      </c>
      <c r="C16" s="10">
        <v>826.84</v>
      </c>
    </row>
    <row r="17" spans="1:5" x14ac:dyDescent="0.2">
      <c r="A17" s="165" t="s">
        <v>70</v>
      </c>
      <c r="B17" s="165"/>
      <c r="C17" s="10">
        <f>SUM(C13:C16)</f>
        <v>100972985.3</v>
      </c>
      <c r="D17" s="93">
        <v>100972158.45999999</v>
      </c>
      <c r="E17" s="93">
        <f>+C17-D17</f>
        <v>826.84000000357628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273</v>
      </c>
    </row>
    <row r="22" spans="1:5" x14ac:dyDescent="0.2">
      <c r="A22" s="2" t="s">
        <v>40</v>
      </c>
      <c r="B22" s="2" t="s">
        <v>3</v>
      </c>
      <c r="C22" s="9">
        <f>'Despesa - Access'!L6</f>
        <v>122334.72</v>
      </c>
    </row>
    <row r="23" spans="1:5" x14ac:dyDescent="0.2">
      <c r="A23" s="2" t="s">
        <v>41</v>
      </c>
      <c r="B23" s="2" t="s">
        <v>4</v>
      </c>
      <c r="C23" s="9">
        <f>'Despesa - Access'!L7</f>
        <v>4024053.2</v>
      </c>
    </row>
    <row r="24" spans="1:5" x14ac:dyDescent="0.2">
      <c r="A24" s="2" t="s">
        <v>42</v>
      </c>
      <c r="B24" s="2" t="s">
        <v>5</v>
      </c>
      <c r="C24" s="9">
        <f>'Despesa - Access'!L8</f>
        <v>587160</v>
      </c>
    </row>
    <row r="25" spans="1:5" x14ac:dyDescent="0.2">
      <c r="A25" s="2" t="s">
        <v>43</v>
      </c>
      <c r="B25" s="2" t="s">
        <v>6</v>
      </c>
      <c r="C25" s="9">
        <f>'Despesa - Access'!L9</f>
        <v>1901454.35</v>
      </c>
    </row>
    <row r="26" spans="1:5" x14ac:dyDescent="0.2">
      <c r="A26" s="2" t="s">
        <v>44</v>
      </c>
      <c r="B26" s="2" t="s">
        <v>7</v>
      </c>
      <c r="C26" s="9">
        <f>'Despesa - Access'!L10</f>
        <v>91740.800000000003</v>
      </c>
    </row>
    <row r="27" spans="1:5" x14ac:dyDescent="0.2">
      <c r="A27" s="2" t="s">
        <v>45</v>
      </c>
      <c r="B27" s="2" t="s">
        <v>67</v>
      </c>
      <c r="C27" s="9">
        <f>'Despesa - Access'!L11</f>
        <v>38085.089999999997</v>
      </c>
    </row>
    <row r="28" spans="1:5" x14ac:dyDescent="0.2">
      <c r="A28" s="2" t="s">
        <v>46</v>
      </c>
      <c r="B28" s="2" t="s">
        <v>8</v>
      </c>
      <c r="C28" s="9">
        <f>'Despesa - Access'!L12</f>
        <v>2342870.58</v>
      </c>
    </row>
    <row r="29" spans="1:5" x14ac:dyDescent="0.2">
      <c r="A29" s="2" t="s">
        <v>47</v>
      </c>
      <c r="B29" s="2" t="s">
        <v>9</v>
      </c>
      <c r="C29" s="9">
        <f>'Despesa - Access'!L13</f>
        <v>2612517.4500000002</v>
      </c>
    </row>
    <row r="30" spans="1:5" x14ac:dyDescent="0.2">
      <c r="A30" s="2" t="s">
        <v>48</v>
      </c>
      <c r="B30" s="2" t="s">
        <v>10</v>
      </c>
      <c r="C30" s="9">
        <f>'Despesa - Access'!L14</f>
        <v>166168.07999999999</v>
      </c>
    </row>
    <row r="31" spans="1:5" x14ac:dyDescent="0.2">
      <c r="A31" s="2" t="s">
        <v>49</v>
      </c>
      <c r="B31" s="2" t="s">
        <v>11</v>
      </c>
      <c r="C31" s="9">
        <f>'Despesa - Access'!L15</f>
        <v>525864.80000000005</v>
      </c>
    </row>
    <row r="32" spans="1:5" x14ac:dyDescent="0.2">
      <c r="A32" s="2" t="s">
        <v>50</v>
      </c>
      <c r="B32" s="2" t="s">
        <v>12</v>
      </c>
      <c r="C32" s="9">
        <f>'Despesa - Access'!L16</f>
        <v>57153.45</v>
      </c>
    </row>
    <row r="33" spans="1:5" x14ac:dyDescent="0.2">
      <c r="A33" s="2" t="s">
        <v>51</v>
      </c>
      <c r="B33" s="2" t="s">
        <v>13</v>
      </c>
      <c r="C33" s="9">
        <f>'Despesa - Access'!L17</f>
        <v>902114.81</v>
      </c>
    </row>
    <row r="34" spans="1:5" ht="63.75" x14ac:dyDescent="0.2">
      <c r="A34" s="6" t="s">
        <v>52</v>
      </c>
      <c r="B34" s="7" t="s">
        <v>275</v>
      </c>
      <c r="C34" s="9">
        <f>'Despesa - Access'!L18</f>
        <v>686195.54</v>
      </c>
    </row>
    <row r="35" spans="1:5" x14ac:dyDescent="0.2">
      <c r="A35" s="2" t="s">
        <v>53</v>
      </c>
      <c r="B35" s="2" t="s">
        <v>14</v>
      </c>
      <c r="C35" s="9">
        <f>'Despesa - Access'!L19</f>
        <v>687546.86</v>
      </c>
    </row>
    <row r="36" spans="1:5" x14ac:dyDescent="0.2">
      <c r="A36" s="2" t="s">
        <v>54</v>
      </c>
      <c r="B36" s="2" t="s">
        <v>267</v>
      </c>
      <c r="C36" s="9">
        <f>'Despesa - Access'!L20</f>
        <v>2890865.06</v>
      </c>
    </row>
    <row r="37" spans="1:5" x14ac:dyDescent="0.2">
      <c r="A37" s="2" t="s">
        <v>55</v>
      </c>
      <c r="B37" s="2" t="s">
        <v>15</v>
      </c>
      <c r="C37" s="9">
        <f>'Despesa - Access'!L21</f>
        <v>10403.08</v>
      </c>
    </row>
    <row r="38" spans="1:5" ht="25.5" x14ac:dyDescent="0.2">
      <c r="A38" s="6" t="s">
        <v>56</v>
      </c>
      <c r="B38" s="26" t="s">
        <v>68</v>
      </c>
      <c r="C38" s="9">
        <f>'Despesa - Access'!L22</f>
        <v>344861.77</v>
      </c>
    </row>
    <row r="39" spans="1:5" x14ac:dyDescent="0.2">
      <c r="A39" s="2" t="s">
        <v>57</v>
      </c>
      <c r="B39" s="2" t="s">
        <v>16</v>
      </c>
      <c r="C39" s="9">
        <f>'Despesa - Access'!L23</f>
        <v>69425</v>
      </c>
    </row>
    <row r="40" spans="1:5" x14ac:dyDescent="0.2">
      <c r="A40" s="2" t="s">
        <v>58</v>
      </c>
      <c r="B40" s="2" t="s">
        <v>17</v>
      </c>
      <c r="C40" s="9">
        <f>'Despesa - Access'!L24</f>
        <v>105.54</v>
      </c>
    </row>
    <row r="41" spans="1:5" x14ac:dyDescent="0.2">
      <c r="A41" s="2" t="s">
        <v>59</v>
      </c>
      <c r="B41" s="2" t="s">
        <v>18</v>
      </c>
      <c r="C41" s="9">
        <f>'Despesa - Access'!L25</f>
        <v>28000</v>
      </c>
    </row>
    <row r="42" spans="1:5" x14ac:dyDescent="0.2">
      <c r="A42" s="2" t="s">
        <v>60</v>
      </c>
      <c r="B42" s="2" t="s">
        <v>19</v>
      </c>
      <c r="C42" s="9">
        <f>'Despesa - Access'!L26</f>
        <v>0</v>
      </c>
    </row>
    <row r="43" spans="1:5" x14ac:dyDescent="0.2">
      <c r="A43" s="2" t="s">
        <v>61</v>
      </c>
      <c r="B43" s="2" t="s">
        <v>20</v>
      </c>
      <c r="C43" s="9">
        <f>'Despesa - Access'!L27</f>
        <v>9128.43</v>
      </c>
    </row>
    <row r="44" spans="1:5" x14ac:dyDescent="0.2">
      <c r="A44" s="2" t="s">
        <v>62</v>
      </c>
      <c r="B44" s="2" t="s">
        <v>21</v>
      </c>
      <c r="C44" s="9">
        <f>'Despesa - Access'!L28</f>
        <v>17153.87</v>
      </c>
    </row>
    <row r="45" spans="1:5" x14ac:dyDescent="0.2">
      <c r="A45" s="2" t="s">
        <v>63</v>
      </c>
      <c r="B45" s="2" t="s">
        <v>69</v>
      </c>
      <c r="C45" s="9">
        <f>'Despesa - Access'!L29</f>
        <v>66330.38</v>
      </c>
    </row>
    <row r="46" spans="1:5" x14ac:dyDescent="0.2">
      <c r="A46" s="2" t="s">
        <v>64</v>
      </c>
      <c r="B46" s="2" t="s">
        <v>22</v>
      </c>
      <c r="C46" s="9">
        <f>'Despesa - Access'!L30</f>
        <v>0</v>
      </c>
    </row>
    <row r="47" spans="1:5" x14ac:dyDescent="0.2">
      <c r="A47" s="2" t="s">
        <v>65</v>
      </c>
      <c r="B47" s="2" t="s">
        <v>23</v>
      </c>
      <c r="C47" s="9">
        <f>'Despesa - Access'!L31</f>
        <v>5438643.3300000001</v>
      </c>
    </row>
    <row r="48" spans="1:5" x14ac:dyDescent="0.2">
      <c r="A48" s="165" t="s">
        <v>70</v>
      </c>
      <c r="B48" s="165"/>
      <c r="C48" s="10">
        <f>SUM(C22:C47)</f>
        <v>23620176.18999999</v>
      </c>
      <c r="D48" s="93">
        <v>23620176.190000001</v>
      </c>
      <c r="E48" s="93">
        <f>+C48-D48</f>
        <v>0</v>
      </c>
    </row>
    <row r="50" spans="1:5" x14ac:dyDescent="0.2">
      <c r="A50" s="4" t="s">
        <v>259</v>
      </c>
    </row>
    <row r="52" spans="1:5" x14ac:dyDescent="0.2">
      <c r="A52" s="3" t="s">
        <v>38</v>
      </c>
      <c r="B52" s="3" t="s">
        <v>39</v>
      </c>
      <c r="C52" s="11" t="s">
        <v>273</v>
      </c>
    </row>
    <row r="53" spans="1:5" x14ac:dyDescent="0.2">
      <c r="A53" s="2" t="s">
        <v>40</v>
      </c>
      <c r="B53" s="2" t="s">
        <v>25</v>
      </c>
      <c r="C53" s="9">
        <f>'Despesa - Access'!L32</f>
        <v>6556.39</v>
      </c>
    </row>
    <row r="54" spans="1:5" x14ac:dyDescent="0.2">
      <c r="A54" s="2" t="s">
        <v>41</v>
      </c>
      <c r="B54" s="2" t="s">
        <v>26</v>
      </c>
      <c r="C54" s="9">
        <f>'Despesa - Access'!L33</f>
        <v>0</v>
      </c>
    </row>
    <row r="55" spans="1:5" x14ac:dyDescent="0.2">
      <c r="A55" s="2" t="s">
        <v>42</v>
      </c>
      <c r="B55" s="2" t="s">
        <v>66</v>
      </c>
      <c r="C55" s="9">
        <f>'Despesa - Access'!L34</f>
        <v>0</v>
      </c>
    </row>
    <row r="56" spans="1:5" x14ac:dyDescent="0.2">
      <c r="A56" s="2" t="s">
        <v>43</v>
      </c>
      <c r="B56" s="2" t="s">
        <v>27</v>
      </c>
      <c r="C56" s="9">
        <f>'Despesa - Access'!L35</f>
        <v>0</v>
      </c>
    </row>
    <row r="57" spans="1:5" x14ac:dyDescent="0.2">
      <c r="A57" s="2" t="s">
        <v>44</v>
      </c>
      <c r="B57" s="2" t="s">
        <v>28</v>
      </c>
      <c r="C57" s="9">
        <f>'Despesa - Access'!L36</f>
        <v>402427.74</v>
      </c>
    </row>
    <row r="58" spans="1:5" x14ac:dyDescent="0.2">
      <c r="A58" s="165" t="s">
        <v>70</v>
      </c>
      <c r="B58" s="165"/>
      <c r="C58" s="10">
        <f>SUM(C53:C57)</f>
        <v>408984.13</v>
      </c>
      <c r="D58" s="93">
        <v>408984.13</v>
      </c>
      <c r="E58" s="93">
        <f>+C58-D58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272</v>
      </c>
    </row>
    <row r="63" spans="1:5" x14ac:dyDescent="0.2">
      <c r="A63" s="2" t="s">
        <v>40</v>
      </c>
      <c r="B63" s="2" t="s">
        <v>30</v>
      </c>
      <c r="C63" s="9">
        <f>'Despesa - Access'!L37</f>
        <v>0</v>
      </c>
    </row>
    <row r="64" spans="1:5" x14ac:dyDescent="0.2">
      <c r="A64" s="2" t="s">
        <v>41</v>
      </c>
      <c r="B64" s="2" t="s">
        <v>31</v>
      </c>
      <c r="C64" s="9">
        <f>'Despesa - Access'!L38</f>
        <v>0</v>
      </c>
    </row>
    <row r="65" spans="1:3" x14ac:dyDescent="0.2">
      <c r="A65" s="165" t="s">
        <v>70</v>
      </c>
      <c r="B65" s="165"/>
      <c r="C65" s="10">
        <f>SUM(C63:C64)</f>
        <v>0</v>
      </c>
    </row>
    <row r="66" spans="1:3" x14ac:dyDescent="0.2">
      <c r="A66" s="154"/>
      <c r="B66" s="154"/>
      <c r="C66" s="154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273</v>
      </c>
    </row>
    <row r="70" spans="1:3" x14ac:dyDescent="0.2">
      <c r="A70" s="2" t="s">
        <v>40</v>
      </c>
      <c r="B70" s="2" t="s">
        <v>74</v>
      </c>
      <c r="C70" s="9">
        <f>'Financeiro - Access'!L2</f>
        <v>100869350.33</v>
      </c>
    </row>
    <row r="71" spans="1:3" x14ac:dyDescent="0.2">
      <c r="A71" s="2" t="s">
        <v>41</v>
      </c>
      <c r="B71" s="2" t="s">
        <v>75</v>
      </c>
      <c r="C71" s="9">
        <f>'Financeiro - Access'!L3</f>
        <v>24023591.440000001</v>
      </c>
    </row>
    <row r="72" spans="1:3" x14ac:dyDescent="0.2">
      <c r="A72" s="2" t="s">
        <v>42</v>
      </c>
      <c r="B72" s="2" t="s">
        <v>180</v>
      </c>
      <c r="C72" s="9">
        <f>'Financeiro - Access'!L4</f>
        <v>462362.5</v>
      </c>
    </row>
    <row r="73" spans="1:3" x14ac:dyDescent="0.2">
      <c r="A73" s="2" t="s">
        <v>43</v>
      </c>
      <c r="B73" s="2" t="s">
        <v>268</v>
      </c>
      <c r="C73" s="9">
        <f>'Financeiro - Access'!L5</f>
        <v>0</v>
      </c>
    </row>
    <row r="74" spans="1:3" x14ac:dyDescent="0.2">
      <c r="A74" s="165" t="s">
        <v>70</v>
      </c>
      <c r="B74" s="165"/>
      <c r="C74" s="10">
        <f>SUM(C70:C73)</f>
        <v>125355304.27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273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7" x14ac:dyDescent="0.2">
      <c r="A81" s="2" t="s">
        <v>42</v>
      </c>
      <c r="B81" s="2" t="s">
        <v>271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5" t="s">
        <v>70</v>
      </c>
      <c r="B83" s="165"/>
      <c r="C83" s="10">
        <f>SUM(C79:C82)</f>
        <v>0</v>
      </c>
    </row>
    <row r="84" spans="1:7" x14ac:dyDescent="0.2">
      <c r="A84" s="169" t="s">
        <v>323</v>
      </c>
      <c r="B84" s="169"/>
      <c r="C84" s="169"/>
    </row>
    <row r="85" spans="1:7" x14ac:dyDescent="0.2">
      <c r="A85" s="170" t="s">
        <v>389</v>
      </c>
      <c r="B85" s="170"/>
      <c r="C85" s="170"/>
    </row>
    <row r="87" spans="1:7" x14ac:dyDescent="0.2">
      <c r="A87" s="157" t="s">
        <v>98</v>
      </c>
      <c r="B87" s="157"/>
      <c r="C87" s="157"/>
      <c r="D87" s="157"/>
      <c r="E87" s="157"/>
    </row>
    <row r="88" spans="1:7" x14ac:dyDescent="0.2">
      <c r="A88" s="111"/>
      <c r="B88" s="111"/>
      <c r="C88" s="111"/>
    </row>
    <row r="89" spans="1:7" x14ac:dyDescent="0.2">
      <c r="C89" s="11" t="s">
        <v>106</v>
      </c>
      <c r="D89" s="123" t="s">
        <v>105</v>
      </c>
      <c r="E89" s="123" t="s">
        <v>70</v>
      </c>
    </row>
    <row r="90" spans="1:7" x14ac:dyDescent="0.2">
      <c r="A90" s="155"/>
      <c r="B90" s="156"/>
      <c r="C90" s="9">
        <v>0</v>
      </c>
      <c r="D90" s="124">
        <f>'Anexo I - Jan'!C89</f>
        <v>0</v>
      </c>
      <c r="E90" s="124">
        <f>C90-D90</f>
        <v>0</v>
      </c>
    </row>
    <row r="91" spans="1:7" x14ac:dyDescent="0.2">
      <c r="A91" s="155" t="s">
        <v>366</v>
      </c>
      <c r="B91" s="156"/>
      <c r="C91" s="9">
        <v>1011400430.86</v>
      </c>
      <c r="D91" s="124">
        <f>'Anexo I - Jul'!C91</f>
        <v>886399112.08000004</v>
      </c>
      <c r="E91" s="124">
        <f>C91-D91</f>
        <v>125001318.77999997</v>
      </c>
    </row>
    <row r="92" spans="1:7" x14ac:dyDescent="0.2">
      <c r="A92" s="155" t="s">
        <v>125</v>
      </c>
      <c r="B92" s="156"/>
      <c r="C92" s="9">
        <v>0</v>
      </c>
      <c r="D92" s="124">
        <f>'Anexo I - Jan'!C91</f>
        <v>0</v>
      </c>
      <c r="E92" s="124">
        <f>C92-D92</f>
        <v>0</v>
      </c>
    </row>
    <row r="93" spans="1:7" x14ac:dyDescent="0.2">
      <c r="A93" s="163" t="s">
        <v>96</v>
      </c>
      <c r="B93" s="163"/>
      <c r="C93" s="163"/>
      <c r="D93" s="163"/>
      <c r="E93" s="125">
        <f>SUM(E90:E92)</f>
        <v>125001318.77999997</v>
      </c>
      <c r="F93" s="8">
        <f>+E94-E93</f>
        <v>826.84000000357628</v>
      </c>
      <c r="G93" s="90" t="s">
        <v>279</v>
      </c>
    </row>
    <row r="94" spans="1:7" x14ac:dyDescent="0.2">
      <c r="A94" s="163" t="s">
        <v>97</v>
      </c>
      <c r="B94" s="163"/>
      <c r="C94" s="163"/>
      <c r="D94" s="163"/>
      <c r="E94" s="125">
        <f>$C$17+$C$48+$C$58+$C$65</f>
        <v>125002145.61999997</v>
      </c>
    </row>
    <row r="96" spans="1:7" x14ac:dyDescent="0.2">
      <c r="D96" s="126" t="s">
        <v>278</v>
      </c>
      <c r="E96" s="127">
        <f>100972158.46+23620176.19+408984.13</f>
        <v>125001318.77999999</v>
      </c>
      <c r="F96" s="93">
        <f>IF(E96="DIFERENÇA",E93-E92,0)</f>
        <v>0</v>
      </c>
    </row>
    <row r="97" spans="3:5" x14ac:dyDescent="0.2">
      <c r="C97"/>
      <c r="E97" s="128" t="str">
        <f>IF(E93=E94,"despesa OK","DIFERENÇA")</f>
        <v>DIFERENÇA</v>
      </c>
    </row>
    <row r="98" spans="3:5" x14ac:dyDescent="0.2">
      <c r="E98" s="93">
        <f>E94-E96</f>
        <v>826.83999998867512</v>
      </c>
    </row>
    <row r="99" spans="3:5" x14ac:dyDescent="0.2">
      <c r="E99" s="93" t="s">
        <v>322</v>
      </c>
    </row>
    <row r="101" spans="3:5" x14ac:dyDescent="0.2">
      <c r="D101" s="129"/>
      <c r="E101" s="129"/>
    </row>
  </sheetData>
  <mergeCells count="22">
    <mergeCell ref="A85:C85"/>
    <mergeCell ref="A93:D93"/>
    <mergeCell ref="A94:D94"/>
    <mergeCell ref="A87:E87"/>
    <mergeCell ref="A90:B90"/>
    <mergeCell ref="A91:B91"/>
    <mergeCell ref="A92:B92"/>
    <mergeCell ref="A84:C84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G99"/>
  <sheetViews>
    <sheetView showGridLines="0" view="pageBreakPreview" topLeftCell="A61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93" customWidth="1"/>
    <col min="6" max="6" width="13.85546875" bestFit="1" customWidth="1"/>
  </cols>
  <sheetData>
    <row r="1" spans="1:3" x14ac:dyDescent="0.2">
      <c r="A1" s="164" t="s">
        <v>254</v>
      </c>
      <c r="B1" s="164"/>
      <c r="C1" s="164"/>
    </row>
    <row r="3" spans="1:3" x14ac:dyDescent="0.2">
      <c r="A3" s="2" t="s">
        <v>32</v>
      </c>
      <c r="B3" s="163" t="s">
        <v>255</v>
      </c>
      <c r="C3" s="163"/>
    </row>
    <row r="4" spans="1:3" x14ac:dyDescent="0.2">
      <c r="A4" s="2" t="s">
        <v>33</v>
      </c>
      <c r="B4" s="163" t="s">
        <v>256</v>
      </c>
      <c r="C4" s="163"/>
    </row>
    <row r="5" spans="1:3" x14ac:dyDescent="0.2">
      <c r="A5" s="2" t="s">
        <v>34</v>
      </c>
      <c r="B5" s="163" t="s">
        <v>367</v>
      </c>
      <c r="C5" s="163"/>
    </row>
    <row r="6" spans="1:3" x14ac:dyDescent="0.2">
      <c r="A6" s="2" t="s">
        <v>35</v>
      </c>
      <c r="B6" s="163" t="s">
        <v>257</v>
      </c>
      <c r="C6" s="163"/>
    </row>
    <row r="7" spans="1:3" x14ac:dyDescent="0.2">
      <c r="A7" s="2" t="s">
        <v>36</v>
      </c>
      <c r="B7" s="161" t="s">
        <v>387</v>
      </c>
      <c r="C7" s="161"/>
    </row>
    <row r="8" spans="1:3" x14ac:dyDescent="0.2">
      <c r="A8" s="2" t="s">
        <v>37</v>
      </c>
      <c r="B8" s="162">
        <v>43027</v>
      </c>
      <c r="C8" s="163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Access'!M2</f>
        <v>72778901.049999997</v>
      </c>
    </row>
    <row r="14" spans="1:3" x14ac:dyDescent="0.2">
      <c r="A14" s="2" t="s">
        <v>41</v>
      </c>
      <c r="B14" s="5" t="s">
        <v>2</v>
      </c>
      <c r="C14" s="10">
        <f>'Despesa - Access'!M3</f>
        <v>14139545.51</v>
      </c>
    </row>
    <row r="15" spans="1:3" x14ac:dyDescent="0.2">
      <c r="A15" s="2" t="s">
        <v>42</v>
      </c>
      <c r="B15" s="5" t="s">
        <v>266</v>
      </c>
      <c r="C15" s="10">
        <f>'Despesa - Access'!M4</f>
        <v>13596847.9</v>
      </c>
    </row>
    <row r="16" spans="1:3" ht="51" x14ac:dyDescent="0.2">
      <c r="A16" s="6" t="s">
        <v>43</v>
      </c>
      <c r="B16" s="5" t="s">
        <v>274</v>
      </c>
      <c r="C16" s="10">
        <v>43023.23</v>
      </c>
    </row>
    <row r="17" spans="1:5" x14ac:dyDescent="0.2">
      <c r="A17" s="165" t="s">
        <v>70</v>
      </c>
      <c r="B17" s="165"/>
      <c r="C17" s="10">
        <f>SUM(C13:C16)</f>
        <v>100558317.69000001</v>
      </c>
      <c r="D17" s="93">
        <v>100515294.45999999</v>
      </c>
      <c r="E17" s="93">
        <f>+C17-D17</f>
        <v>43023.230000019073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273</v>
      </c>
    </row>
    <row r="22" spans="1:5" x14ac:dyDescent="0.2">
      <c r="A22" s="2" t="s">
        <v>40</v>
      </c>
      <c r="B22" s="2" t="s">
        <v>3</v>
      </c>
      <c r="C22" s="9">
        <f>'Despesa - Access'!M6</f>
        <v>153510.96</v>
      </c>
    </row>
    <row r="23" spans="1:5" x14ac:dyDescent="0.2">
      <c r="A23" s="2" t="s">
        <v>41</v>
      </c>
      <c r="B23" s="2" t="s">
        <v>4</v>
      </c>
      <c r="C23" s="9">
        <f>'Despesa - Access'!M7</f>
        <v>4028026.96</v>
      </c>
    </row>
    <row r="24" spans="1:5" x14ac:dyDescent="0.2">
      <c r="A24" s="2" t="s">
        <v>42</v>
      </c>
      <c r="B24" s="2" t="s">
        <v>5</v>
      </c>
      <c r="C24" s="9">
        <f>'Despesa - Access'!M8</f>
        <v>589956</v>
      </c>
    </row>
    <row r="25" spans="1:5" x14ac:dyDescent="0.2">
      <c r="A25" s="2" t="s">
        <v>43</v>
      </c>
      <c r="B25" s="2" t="s">
        <v>6</v>
      </c>
      <c r="C25" s="9">
        <f>'Despesa - Access'!M9</f>
        <v>2197767.77</v>
      </c>
    </row>
    <row r="26" spans="1:5" x14ac:dyDescent="0.2">
      <c r="A26" s="2" t="s">
        <v>44</v>
      </c>
      <c r="B26" s="2" t="s">
        <v>7</v>
      </c>
      <c r="C26" s="9">
        <f>'Despesa - Access'!M10</f>
        <v>172231.67</v>
      </c>
    </row>
    <row r="27" spans="1:5" x14ac:dyDescent="0.2">
      <c r="A27" s="2" t="s">
        <v>45</v>
      </c>
      <c r="B27" s="2" t="s">
        <v>67</v>
      </c>
      <c r="C27" s="9">
        <f>'Despesa - Access'!M11</f>
        <v>36756.5</v>
      </c>
    </row>
    <row r="28" spans="1:5" x14ac:dyDescent="0.2">
      <c r="A28" s="2" t="s">
        <v>46</v>
      </c>
      <c r="B28" s="2" t="s">
        <v>8</v>
      </c>
      <c r="C28" s="9">
        <f>'Despesa - Access'!M12</f>
        <v>2041487.48</v>
      </c>
    </row>
    <row r="29" spans="1:5" x14ac:dyDescent="0.2">
      <c r="A29" s="2" t="s">
        <v>47</v>
      </c>
      <c r="B29" s="2" t="s">
        <v>9</v>
      </c>
      <c r="C29" s="9">
        <f>'Despesa - Access'!M13</f>
        <v>2642990.21</v>
      </c>
    </row>
    <row r="30" spans="1:5" x14ac:dyDescent="0.2">
      <c r="A30" s="2" t="s">
        <v>48</v>
      </c>
      <c r="B30" s="2" t="s">
        <v>10</v>
      </c>
      <c r="C30" s="9">
        <f>'Despesa - Access'!M14</f>
        <v>144411.48000000001</v>
      </c>
    </row>
    <row r="31" spans="1:5" x14ac:dyDescent="0.2">
      <c r="A31" s="2" t="s">
        <v>49</v>
      </c>
      <c r="B31" s="2" t="s">
        <v>11</v>
      </c>
      <c r="C31" s="9">
        <f>'Despesa - Access'!M15</f>
        <v>507996.25</v>
      </c>
    </row>
    <row r="32" spans="1:5" x14ac:dyDescent="0.2">
      <c r="A32" s="2" t="s">
        <v>50</v>
      </c>
      <c r="B32" s="2" t="s">
        <v>12</v>
      </c>
      <c r="C32" s="9">
        <f>'Despesa - Access'!M16</f>
        <v>12338.07</v>
      </c>
    </row>
    <row r="33" spans="1:5" x14ac:dyDescent="0.2">
      <c r="A33" s="2" t="s">
        <v>51</v>
      </c>
      <c r="B33" s="2" t="s">
        <v>13</v>
      </c>
      <c r="C33" s="9">
        <f>'Despesa - Access'!M17</f>
        <v>682265.13</v>
      </c>
    </row>
    <row r="34" spans="1:5" ht="63.75" x14ac:dyDescent="0.2">
      <c r="A34" s="6" t="s">
        <v>52</v>
      </c>
      <c r="B34" s="7" t="s">
        <v>275</v>
      </c>
      <c r="C34" s="9">
        <f>'Despesa - Access'!M18</f>
        <v>464784.35</v>
      </c>
    </row>
    <row r="35" spans="1:5" x14ac:dyDescent="0.2">
      <c r="A35" s="2" t="s">
        <v>53</v>
      </c>
      <c r="B35" s="2" t="s">
        <v>14</v>
      </c>
      <c r="C35" s="9">
        <f>'Despesa - Access'!M19</f>
        <v>838381.5</v>
      </c>
    </row>
    <row r="36" spans="1:5" x14ac:dyDescent="0.2">
      <c r="A36" s="2" t="s">
        <v>54</v>
      </c>
      <c r="B36" s="2" t="s">
        <v>267</v>
      </c>
      <c r="C36" s="9">
        <f>'Despesa - Access'!M20</f>
        <v>2587987.33</v>
      </c>
    </row>
    <row r="37" spans="1:5" x14ac:dyDescent="0.2">
      <c r="A37" s="2" t="s">
        <v>55</v>
      </c>
      <c r="B37" s="2" t="s">
        <v>15</v>
      </c>
      <c r="C37" s="9">
        <f>'Despesa - Access'!M21</f>
        <v>8143.08</v>
      </c>
    </row>
    <row r="38" spans="1:5" ht="25.5" x14ac:dyDescent="0.2">
      <c r="A38" s="6" t="s">
        <v>56</v>
      </c>
      <c r="B38" s="26" t="s">
        <v>68</v>
      </c>
      <c r="C38" s="9">
        <f>'Despesa - Access'!M22</f>
        <v>722954.76</v>
      </c>
    </row>
    <row r="39" spans="1:5" x14ac:dyDescent="0.2">
      <c r="A39" s="2" t="s">
        <v>57</v>
      </c>
      <c r="B39" s="2" t="s">
        <v>16</v>
      </c>
      <c r="C39" s="9">
        <f>'Despesa - Access'!M23</f>
        <v>51150.52</v>
      </c>
    </row>
    <row r="40" spans="1:5" x14ac:dyDescent="0.2">
      <c r="A40" s="2" t="s">
        <v>58</v>
      </c>
      <c r="B40" s="2" t="s">
        <v>17</v>
      </c>
      <c r="C40" s="9">
        <f>'Despesa - Access'!M24</f>
        <v>63868.28</v>
      </c>
    </row>
    <row r="41" spans="1:5" x14ac:dyDescent="0.2">
      <c r="A41" s="2" t="s">
        <v>59</v>
      </c>
      <c r="B41" s="2" t="s">
        <v>18</v>
      </c>
      <c r="C41" s="9">
        <f>'Despesa - Access'!M25</f>
        <v>133187.5</v>
      </c>
    </row>
    <row r="42" spans="1:5" x14ac:dyDescent="0.2">
      <c r="A42" s="2" t="s">
        <v>60</v>
      </c>
      <c r="B42" s="2" t="s">
        <v>19</v>
      </c>
      <c r="C42" s="9">
        <f>'Despesa - Access'!M26</f>
        <v>2154</v>
      </c>
    </row>
    <row r="43" spans="1:5" x14ac:dyDescent="0.2">
      <c r="A43" s="2" t="s">
        <v>61</v>
      </c>
      <c r="B43" s="2" t="s">
        <v>20</v>
      </c>
      <c r="C43" s="9">
        <f>'Despesa - Access'!M27</f>
        <v>12840.81</v>
      </c>
    </row>
    <row r="44" spans="1:5" x14ac:dyDescent="0.2">
      <c r="A44" s="2" t="s">
        <v>62</v>
      </c>
      <c r="B44" s="2" t="s">
        <v>21</v>
      </c>
      <c r="C44" s="9">
        <f>'Despesa - Access'!M28</f>
        <v>22753.83</v>
      </c>
    </row>
    <row r="45" spans="1:5" x14ac:dyDescent="0.2">
      <c r="A45" s="2" t="s">
        <v>63</v>
      </c>
      <c r="B45" s="2" t="s">
        <v>69</v>
      </c>
      <c r="C45" s="9">
        <f>'Despesa - Access'!M29</f>
        <v>131468.31</v>
      </c>
    </row>
    <row r="46" spans="1:5" x14ac:dyDescent="0.2">
      <c r="A46" s="2" t="s">
        <v>64</v>
      </c>
      <c r="B46" s="2" t="s">
        <v>22</v>
      </c>
      <c r="C46" s="9">
        <f>'Despesa - Access'!M30</f>
        <v>0</v>
      </c>
    </row>
    <row r="47" spans="1:5" x14ac:dyDescent="0.2">
      <c r="A47" s="2" t="s">
        <v>65</v>
      </c>
      <c r="B47" s="2" t="s">
        <v>23</v>
      </c>
      <c r="C47" s="9">
        <f>'Despesa - Access'!M31</f>
        <v>5841251.9199999999</v>
      </c>
    </row>
    <row r="48" spans="1:5" x14ac:dyDescent="0.2">
      <c r="A48" s="165" t="s">
        <v>70</v>
      </c>
      <c r="B48" s="165"/>
      <c r="C48" s="10">
        <f>SUM(C22:C47)</f>
        <v>24090664.670000002</v>
      </c>
      <c r="D48" s="93">
        <v>24090664.670000002</v>
      </c>
      <c r="E48" s="93">
        <f>+C48-D48</f>
        <v>0</v>
      </c>
    </row>
    <row r="50" spans="1:5" x14ac:dyDescent="0.2">
      <c r="A50" s="4" t="s">
        <v>259</v>
      </c>
    </row>
    <row r="52" spans="1:5" x14ac:dyDescent="0.2">
      <c r="A52" s="3" t="s">
        <v>38</v>
      </c>
      <c r="B52" s="3" t="s">
        <v>39</v>
      </c>
      <c r="C52" s="11" t="s">
        <v>273</v>
      </c>
    </row>
    <row r="53" spans="1:5" x14ac:dyDescent="0.2">
      <c r="A53" s="2" t="s">
        <v>40</v>
      </c>
      <c r="B53" s="2" t="s">
        <v>25</v>
      </c>
      <c r="C53" s="9">
        <f>'Despesa - Access'!M32</f>
        <v>0</v>
      </c>
    </row>
    <row r="54" spans="1:5" x14ac:dyDescent="0.2">
      <c r="A54" s="2" t="s">
        <v>41</v>
      </c>
      <c r="B54" s="2" t="s">
        <v>26</v>
      </c>
      <c r="C54" s="9">
        <f>'Despesa - Access'!M33</f>
        <v>0</v>
      </c>
    </row>
    <row r="55" spans="1:5" x14ac:dyDescent="0.2">
      <c r="A55" s="2" t="s">
        <v>42</v>
      </c>
      <c r="B55" s="2" t="s">
        <v>66</v>
      </c>
      <c r="C55" s="9">
        <f>'Despesa - Access'!M34</f>
        <v>0</v>
      </c>
    </row>
    <row r="56" spans="1:5" x14ac:dyDescent="0.2">
      <c r="A56" s="2" t="s">
        <v>43</v>
      </c>
      <c r="B56" s="2" t="s">
        <v>27</v>
      </c>
      <c r="C56" s="9">
        <f>'Despesa - Access'!M35</f>
        <v>0</v>
      </c>
    </row>
    <row r="57" spans="1:5" x14ac:dyDescent="0.2">
      <c r="A57" s="2" t="s">
        <v>44</v>
      </c>
      <c r="B57" s="2" t="s">
        <v>28</v>
      </c>
      <c r="C57" s="9">
        <f>'Despesa - Access'!M36</f>
        <v>130213.75999999999</v>
      </c>
    </row>
    <row r="58" spans="1:5" x14ac:dyDescent="0.2">
      <c r="A58" s="165" t="s">
        <v>70</v>
      </c>
      <c r="B58" s="165"/>
      <c r="C58" s="10">
        <f>SUM(C53:C57)</f>
        <v>130213.75999999999</v>
      </c>
      <c r="D58" s="93">
        <v>130213.75999999999</v>
      </c>
      <c r="E58" s="93">
        <f>+C58-D58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272</v>
      </c>
    </row>
    <row r="63" spans="1:5" x14ac:dyDescent="0.2">
      <c r="A63" s="2" t="s">
        <v>40</v>
      </c>
      <c r="B63" s="2" t="s">
        <v>30</v>
      </c>
      <c r="C63" s="9">
        <f>'Despesa - Access'!M37</f>
        <v>0</v>
      </c>
    </row>
    <row r="64" spans="1:5" x14ac:dyDescent="0.2">
      <c r="A64" s="2" t="s">
        <v>41</v>
      </c>
      <c r="B64" s="2" t="s">
        <v>31</v>
      </c>
      <c r="C64" s="9">
        <f>'Despesa - Access'!M38</f>
        <v>0</v>
      </c>
    </row>
    <row r="65" spans="1:5" x14ac:dyDescent="0.2">
      <c r="A65" s="165" t="s">
        <v>70</v>
      </c>
      <c r="B65" s="165"/>
      <c r="C65" s="10">
        <f>SUM(C63:C64)</f>
        <v>0</v>
      </c>
    </row>
    <row r="66" spans="1:5" x14ac:dyDescent="0.2">
      <c r="A66" s="154"/>
      <c r="B66" s="154"/>
      <c r="C66" s="154"/>
    </row>
    <row r="67" spans="1:5" x14ac:dyDescent="0.2">
      <c r="A67" s="4" t="s">
        <v>73</v>
      </c>
    </row>
    <row r="69" spans="1:5" x14ac:dyDescent="0.2">
      <c r="A69" s="3" t="s">
        <v>38</v>
      </c>
      <c r="B69" s="3" t="s">
        <v>39</v>
      </c>
      <c r="C69" s="11" t="s">
        <v>273</v>
      </c>
    </row>
    <row r="70" spans="1:5" x14ac:dyDescent="0.2">
      <c r="A70" s="2" t="s">
        <v>40</v>
      </c>
      <c r="B70" s="2" t="s">
        <v>74</v>
      </c>
      <c r="C70" s="9">
        <f>'Financeiro - Access'!M2</f>
        <v>100435465.47</v>
      </c>
      <c r="D70" s="93">
        <v>100435465.47</v>
      </c>
    </row>
    <row r="71" spans="1:5" x14ac:dyDescent="0.2">
      <c r="A71" s="2" t="s">
        <v>41</v>
      </c>
      <c r="B71" s="2" t="s">
        <v>75</v>
      </c>
      <c r="C71" s="9">
        <f>'Financeiro - Access'!M3</f>
        <v>23814700.280000001</v>
      </c>
      <c r="D71" s="93">
        <v>23814700.280000001</v>
      </c>
    </row>
    <row r="72" spans="1:5" x14ac:dyDescent="0.2">
      <c r="A72" s="2" t="s">
        <v>42</v>
      </c>
      <c r="B72" s="2" t="s">
        <v>180</v>
      </c>
      <c r="C72" s="9">
        <f>'Financeiro - Access'!M4</f>
        <v>440826.45</v>
      </c>
      <c r="D72" s="93">
        <v>440826.45</v>
      </c>
    </row>
    <row r="73" spans="1:5" x14ac:dyDescent="0.2">
      <c r="A73" s="2" t="s">
        <v>43</v>
      </c>
      <c r="B73" s="2" t="s">
        <v>268</v>
      </c>
      <c r="C73" s="9">
        <f>'Financeiro - Access'!M5</f>
        <v>0</v>
      </c>
      <c r="D73" s="93">
        <v>0</v>
      </c>
    </row>
    <row r="74" spans="1:5" x14ac:dyDescent="0.2">
      <c r="A74" s="165" t="s">
        <v>70</v>
      </c>
      <c r="B74" s="165"/>
      <c r="C74" s="10">
        <f>SUM(C70:C73)</f>
        <v>124690992.2</v>
      </c>
      <c r="D74" s="93">
        <v>124690992.2</v>
      </c>
      <c r="E74" s="93">
        <f>+D74-C74</f>
        <v>0</v>
      </c>
    </row>
    <row r="76" spans="1:5" x14ac:dyDescent="0.2">
      <c r="A76" s="4" t="s">
        <v>252</v>
      </c>
    </row>
    <row r="78" spans="1:5" x14ac:dyDescent="0.2">
      <c r="A78" s="3" t="s">
        <v>38</v>
      </c>
      <c r="B78" s="3" t="s">
        <v>39</v>
      </c>
      <c r="C78" s="11" t="s">
        <v>273</v>
      </c>
    </row>
    <row r="79" spans="1:5" x14ac:dyDescent="0.2">
      <c r="A79" s="2" t="s">
        <v>40</v>
      </c>
      <c r="B79" s="2" t="s">
        <v>269</v>
      </c>
      <c r="C79" s="9"/>
    </row>
    <row r="80" spans="1:5" x14ac:dyDescent="0.2">
      <c r="A80" s="2" t="s">
        <v>41</v>
      </c>
      <c r="B80" s="2" t="s">
        <v>270</v>
      </c>
      <c r="C80" s="9"/>
    </row>
    <row r="81" spans="1:7" x14ac:dyDescent="0.2">
      <c r="A81" s="2" t="s">
        <v>42</v>
      </c>
      <c r="B81" s="2" t="s">
        <v>271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5" t="s">
        <v>70</v>
      </c>
      <c r="B83" s="165"/>
      <c r="C83" s="10">
        <f>SUM(C79:C82)</f>
        <v>0</v>
      </c>
    </row>
    <row r="84" spans="1:7" x14ac:dyDescent="0.2">
      <c r="A84" s="169" t="s">
        <v>323</v>
      </c>
      <c r="B84" s="169"/>
      <c r="C84" s="169"/>
    </row>
    <row r="85" spans="1:7" x14ac:dyDescent="0.2">
      <c r="A85" t="s">
        <v>389</v>
      </c>
    </row>
    <row r="87" spans="1:7" x14ac:dyDescent="0.2">
      <c r="A87" s="157" t="s">
        <v>98</v>
      </c>
      <c r="B87" s="157"/>
      <c r="C87" s="157"/>
      <c r="D87" s="157"/>
      <c r="E87" s="157"/>
    </row>
    <row r="88" spans="1:7" x14ac:dyDescent="0.2">
      <c r="A88" s="112"/>
      <c r="B88" s="112"/>
      <c r="C88" s="112"/>
      <c r="D88"/>
      <c r="E88"/>
    </row>
    <row r="89" spans="1:7" x14ac:dyDescent="0.2">
      <c r="C89" s="11" t="s">
        <v>107</v>
      </c>
      <c r="D89" s="3" t="s">
        <v>106</v>
      </c>
      <c r="E89" s="3" t="s">
        <v>70</v>
      </c>
    </row>
    <row r="90" spans="1:7" x14ac:dyDescent="0.2">
      <c r="A90" s="155"/>
      <c r="B90" s="156"/>
      <c r="C90" s="9">
        <v>0</v>
      </c>
      <c r="D90" s="9">
        <f>'Anexo I - Jan'!C89</f>
        <v>0</v>
      </c>
      <c r="E90" s="9">
        <f>C90-D90</f>
        <v>0</v>
      </c>
    </row>
    <row r="91" spans="1:7" x14ac:dyDescent="0.2">
      <c r="A91" s="155" t="s">
        <v>366</v>
      </c>
      <c r="B91" s="156"/>
      <c r="C91" s="9">
        <v>1136136603.75</v>
      </c>
      <c r="D91" s="9">
        <f>'Anexo I - Ago'!C91</f>
        <v>1011400430.86</v>
      </c>
      <c r="E91" s="9">
        <f>C91-D91</f>
        <v>124736172.88999999</v>
      </c>
    </row>
    <row r="92" spans="1:7" x14ac:dyDescent="0.2">
      <c r="A92" s="155" t="s">
        <v>125</v>
      </c>
      <c r="B92" s="156"/>
      <c r="C92" s="9">
        <v>0</v>
      </c>
      <c r="D92" s="9">
        <f>'Anexo I - Jan'!C91</f>
        <v>0</v>
      </c>
      <c r="E92" s="9">
        <f>C92-D92</f>
        <v>0</v>
      </c>
    </row>
    <row r="93" spans="1:7" x14ac:dyDescent="0.2">
      <c r="A93" s="163" t="s">
        <v>96</v>
      </c>
      <c r="B93" s="163"/>
      <c r="C93" s="163"/>
      <c r="D93" s="163"/>
      <c r="E93" s="27">
        <f>SUM(E90:E92)</f>
        <v>124736172.88999999</v>
      </c>
      <c r="F93" s="8">
        <f>+E94-E93</f>
        <v>43023.230000033975</v>
      </c>
      <c r="G93" s="90" t="s">
        <v>279</v>
      </c>
    </row>
    <row r="94" spans="1:7" x14ac:dyDescent="0.2">
      <c r="A94" s="163" t="s">
        <v>97</v>
      </c>
      <c r="B94" s="163"/>
      <c r="C94" s="163"/>
      <c r="D94" s="163"/>
      <c r="E94" s="27">
        <f>$C$17+$C$48+$C$58+$C$65</f>
        <v>124779196.12000002</v>
      </c>
    </row>
    <row r="95" spans="1:7" x14ac:dyDescent="0.2">
      <c r="D95"/>
      <c r="E95"/>
    </row>
    <row r="96" spans="1:7" x14ac:dyDescent="0.2">
      <c r="D96" s="86" t="s">
        <v>278</v>
      </c>
      <c r="E96" s="91">
        <f>100515294.46+24090664.67+130213.76</f>
        <v>124736172.89</v>
      </c>
      <c r="F96" s="93">
        <f>IF(E96="DIFERENÇA",E93-E92,0)</f>
        <v>0</v>
      </c>
    </row>
    <row r="97" spans="3:5" x14ac:dyDescent="0.2">
      <c r="C97"/>
      <c r="D97"/>
      <c r="E97" s="88" t="str">
        <f>IF(E93=E94,"despesa OK","DIFERENÇA")</f>
        <v>DIFERENÇA</v>
      </c>
    </row>
    <row r="98" spans="3:5" x14ac:dyDescent="0.2">
      <c r="D98"/>
      <c r="E98" s="8">
        <f>E94-E96</f>
        <v>43023.230000019073</v>
      </c>
    </row>
    <row r="99" spans="3:5" x14ac:dyDescent="0.2">
      <c r="D99"/>
      <c r="E99" t="s">
        <v>322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15</vt:i4>
      </vt:variant>
    </vt:vector>
  </HeadingPairs>
  <TitlesOfParts>
    <vt:vector size="36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Orcamento - Access</vt:lpstr>
      <vt:lpstr>RP - Access</vt:lpstr>
      <vt:lpstr>Arrec. Custas</vt:lpstr>
      <vt:lpstr>Decisões Judiciais</vt:lpstr>
      <vt:lpstr>Outras Receitas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2017-12-15T18:25:47Z</cp:lastPrinted>
  <dcterms:created xsi:type="dcterms:W3CDTF">2010-03-11T09:53:57Z</dcterms:created>
  <dcterms:modified xsi:type="dcterms:W3CDTF">2018-01-19T19:58:59Z</dcterms:modified>
</cp:coreProperties>
</file>