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5" activeTab="5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Fev'!$A$1:$C$85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/>
</workbook>
</file>

<file path=xl/calcChain.xml><?xml version="1.0" encoding="utf-8"?>
<calcChain xmlns="http://schemas.openxmlformats.org/spreadsheetml/2006/main">
  <c r="E94" i="7" l="1"/>
  <c r="C100" i="7"/>
  <c r="C101" i="7"/>
  <c r="C103" i="7" s="1"/>
  <c r="E90" i="7"/>
  <c r="E98" i="5" l="1"/>
  <c r="E92" i="5"/>
  <c r="E93" i="5"/>
  <c r="E95" i="5"/>
  <c r="E96" i="4" l="1"/>
  <c r="C16" i="3" l="1"/>
  <c r="D90" i="4" l="1"/>
  <c r="E96" i="3" l="1"/>
  <c r="E90" i="3"/>
  <c r="E93" i="3" s="1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40" i="18" l="1"/>
  <c r="C91" i="12"/>
  <c r="P40" i="15" l="1"/>
  <c r="P44" i="15" s="1"/>
  <c r="K91" i="12" l="1"/>
  <c r="K93" i="12" s="1"/>
  <c r="K95" i="12" l="1"/>
  <c r="K97" i="12" s="1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E91" i="4" l="1"/>
  <c r="E90" i="4"/>
  <c r="E93" i="4" s="1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F7" i="16"/>
  <c r="E7" i="16"/>
  <c r="I9" i="16" l="1"/>
  <c r="C106" i="5" s="1"/>
  <c r="M9" i="16"/>
  <c r="E9" i="16"/>
  <c r="C105" i="1" s="1"/>
  <c r="C107" i="2" s="1"/>
  <c r="F9" i="16"/>
  <c r="C104" i="2" s="1"/>
  <c r="C107" i="3" s="1"/>
  <c r="N9" i="16"/>
  <c r="O9" i="16"/>
  <c r="J9" i="16"/>
  <c r="G9" i="16"/>
  <c r="C104" i="3" s="1"/>
  <c r="C107" i="4" s="1"/>
  <c r="K9" i="16"/>
  <c r="H9" i="16"/>
  <c r="C104" i="4" s="1"/>
  <c r="L9" i="16"/>
  <c r="Q7" i="16"/>
  <c r="P9" i="16" s="1"/>
  <c r="C109" i="5" l="1"/>
  <c r="C48" i="13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E17" i="7" l="1"/>
  <c r="E91" i="7"/>
  <c r="C74" i="2"/>
  <c r="E74" i="2" s="1"/>
  <c r="C17" i="4"/>
  <c r="C48" i="2"/>
  <c r="D49" i="2" s="1"/>
  <c r="C17" i="2"/>
  <c r="C65" i="1"/>
  <c r="C48" i="1"/>
  <c r="C17" i="1"/>
  <c r="C48" i="4"/>
  <c r="E48" i="4" s="1"/>
  <c r="C58" i="4"/>
  <c r="C65" i="4"/>
  <c r="C74" i="4"/>
  <c r="C105" i="4" s="1"/>
  <c r="C106" i="4" s="1"/>
  <c r="C108" i="4" s="1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C105" i="2"/>
  <c r="C106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107" i="5" s="1"/>
  <c r="C108" i="5" s="1"/>
  <c r="C110" i="5" s="1"/>
  <c r="C74" i="7"/>
  <c r="C48" i="7"/>
  <c r="E48" i="7" s="1"/>
  <c r="C58" i="7"/>
  <c r="C65" i="7"/>
  <c r="C83" i="7"/>
  <c r="C17" i="6"/>
  <c r="C48" i="6"/>
  <c r="C58" i="6"/>
  <c r="E58" i="6" s="1"/>
  <c r="C65" i="6"/>
  <c r="C83" i="6"/>
  <c r="C17" i="5"/>
  <c r="C48" i="5"/>
  <c r="E48" i="5" s="1"/>
  <c r="C58" i="5"/>
  <c r="E58" i="5" s="1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5" i="7" l="1"/>
  <c r="E92" i="7"/>
  <c r="E17" i="5"/>
  <c r="E96" i="5"/>
  <c r="E94" i="4"/>
  <c r="E17" i="4"/>
  <c r="E94" i="3"/>
  <c r="F94" i="3" s="1"/>
  <c r="D18" i="2"/>
  <c r="E96" i="2"/>
  <c r="E17" i="1"/>
  <c r="F17" i="1" s="1"/>
  <c r="E96" i="1"/>
  <c r="E94" i="12"/>
  <c r="E99" i="12" s="1"/>
  <c r="E101" i="12" s="1"/>
  <c r="E94" i="11"/>
  <c r="E98" i="11" s="1"/>
  <c r="E94" i="8"/>
  <c r="C74" i="3"/>
  <c r="C105" i="3" s="1"/>
  <c r="C106" i="3" s="1"/>
  <c r="C108" i="3" s="1"/>
  <c r="C74" i="1"/>
  <c r="C106" i="1" s="1"/>
  <c r="C107" i="1" s="1"/>
  <c r="C109" i="1" s="1"/>
  <c r="E97" i="5" l="1"/>
  <c r="E99" i="5"/>
  <c r="E97" i="4"/>
  <c r="F96" i="4"/>
  <c r="F96" i="2"/>
  <c r="F100" i="2"/>
  <c r="E100" i="2"/>
  <c r="C108" i="2"/>
  <c r="E100" i="1"/>
  <c r="F100" i="1"/>
  <c r="E97" i="12"/>
  <c r="E97" i="11"/>
  <c r="F93" i="11"/>
  <c r="E97" i="8"/>
  <c r="E98" i="8"/>
  <c r="F93" i="8"/>
  <c r="E98" i="3"/>
  <c r="E97" i="3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<sst xmlns="http://schemas.openxmlformats.org/spreadsheetml/2006/main" count="2567" uniqueCount="414">
  <si>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</si>
  <si>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</si>
  <si>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</si>
  <si>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</si>
  <si>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</si>
  <si>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</si>
  <si>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</si>
  <si>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</si>
  <si>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</si>
  <si>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</si>
  <si>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</si>
  <si>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</si>
  <si>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</si>
  <si>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</si>
  <si>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</si>
  <si>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</si>
  <si>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</si>
  <si>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</si>
  <si>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</si>
  <si>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</si>
  <si>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</si>
  <si>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</si>
  <si>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</si>
  <si>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</si>
  <si>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</si>
  <si>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</si>
  <si>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</si>
  <si>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</si>
  <si>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</si>
  <si>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</si>
  <si>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</si>
  <si>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</si>
  <si>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</si>
  <si>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</si>
  <si>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</si>
  <si>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</si>
  <si>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</si>
  <si>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</si>
  <si>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</si>
  <si>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</si>
  <si>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</si>
  <si>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</si>
  <si>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</si>
  <si>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</si>
  <si>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</si>
  <si>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</si>
  <si>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</si>
  <si>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</si>
  <si>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</si>
  <si>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</si>
  <si>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</si>
  <si>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</si>
  <si>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</si>
  <si>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</si>
  <si>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</si>
  <si>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</si>
  <si>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</si>
  <si>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</si>
  <si>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</si>
  <si>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</si>
  <si>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</si>
  <si>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</si>
  <si>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</si>
  <si>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</si>
  <si>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</si>
  <si>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</si>
  <si>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</si>
  <si>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</si>
  <si>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</si>
  <si>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</si>
  <si>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</si>
  <si>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</si>
  <si>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</si>
  <si>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</si>
  <si>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</si>
  <si>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</si>
  <si>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</si>
  <si>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</si>
  <si>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</si>
  <si>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</si>
  <si>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</si>
  <si>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</si>
  <si>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</si>
  <si>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</si>
  <si>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</si>
  <si>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</si>
  <si>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</si>
  <si>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</si>
  <si>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</si>
  <si>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</si>
  <si>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</si>
  <si>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</si>
  <si>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</si>
  <si>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</si>
  <si>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</si>
  <si>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</si>
  <si>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</si>
  <si>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</si>
  <si>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</si>
  <si>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</si>
  <si>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</si>
  <si>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</si>
  <si>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</si>
  <si>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</si>
  <si>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</si>
  <si>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</si>
  <si>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</si>
  <si>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</si>
  <si>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</si>
  <si>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</si>
  <si>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</si>
  <si>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</si>
  <si>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</si>
  <si>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</si>
  <si>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</si>
  <si>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</si>
  <si>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</si>
  <si>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</si>
  <si>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</si>
  <si>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</si>
  <si>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</si>
  <si>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</si>
  <si>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</si>
  <si>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</si>
  <si>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</si>
  <si>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</si>
  <si>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</si>
  <si>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</si>
  <si>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</si>
  <si>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</si>
  <si>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</si>
  <si>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</si>
  <si>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</si>
  <si>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</si>
  <si>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</si>
  <si>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</si>
  <si>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</si>
  <si>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</si>
  <si>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</si>
  <si>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</si>
  <si>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</si>
  <si>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</si>
  <si>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</si>
  <si>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</si>
  <si>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</si>
  <si>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</si>
  <si>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</si>
  <si>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</si>
  <si>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</si>
  <si>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</si>
  <si>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</si>
  <si>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</si>
  <si>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</si>
  <si>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</si>
  <si>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</si>
  <si>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</si>
  <si>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</si>
  <si>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</si>
  <si>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</si>
  <si>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</si>
  <si>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</si>
  <si>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</si>
  <si>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</si>
  <si>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</si>
  <si>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</si>
  <si>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</si>
  <si>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</si>
  <si>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</si>
  <si>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</si>
  <si>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</si>
  <si>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</si>
  <si>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</si>
  <si>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</si>
  <si>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</si>
  <si>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</si>
  <si>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</si>
  <si>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</si>
  <si>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</si>
  <si>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</si>
  <si>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</si>
  <si>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</si>
  <si>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</si>
  <si>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</si>
  <si>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</si>
  <si>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</si>
  <si>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</si>
  <si>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</si>
  <si>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</si>
  <si>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</si>
  <si>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</si>
  <si>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</si>
  <si>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</si>
  <si>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</si>
  <si>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</si>
  <si>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</si>
  <si>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</si>
  <si>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</si>
  <si>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</si>
  <si>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</si>
  <si>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</si>
  <si>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</si>
  <si>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</si>
  <si>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</si>
  <si>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</si>
  <si>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</si>
  <si>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</si>
  <si>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</si>
  <si>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</si>
  <si>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</si>
  <si>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</si>
  <si>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</si>
  <si>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</si>
  <si>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</si>
  <si>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</si>
  <si>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</si>
  <si>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</si>
  <si>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</si>
  <si>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</si>
  <si>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</si>
  <si>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</si>
  <si>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</si>
  <si>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</si>
  <si>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</si>
  <si>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</si>
  <si>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</si>
  <si>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</si>
  <si>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</si>
  <si>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</si>
  <si>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</si>
  <si>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</si>
  <si>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</si>
  <si>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</si>
  <si>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</si>
  <si>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</si>
  <si>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</si>
  <si>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</si>
  <si>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</si>
  <si>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</si>
  <si>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</si>
  <si>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</si>
  <si>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</si>
  <si>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</si>
  <si>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</si>
  <si>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</si>
  <si>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</si>
  <si>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</si>
  <si>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</si>
  <si>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</si>
  <si>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</si>
  <si>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</si>
  <si>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</si>
  <si>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</si>
  <si>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</si>
  <si>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</si>
  <si>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</si>
  <si>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</si>
  <si>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</si>
  <si>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</si>
  <si>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</si>
  <si>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</si>
  <si>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</si>
  <si>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</si>
  <si>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</si>
  <si>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</si>
  <si>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</si>
  <si>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</si>
  <si>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</si>
  <si>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</si>
  <si>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</si>
  <si>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</si>
  <si>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</si>
  <si>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</si>
  <si>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</si>
  <si>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</si>
  <si>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</si>
  <si>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</si>
  <si>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</si>
  <si>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</si>
  <si>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</si>
  <si>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</si>
  <si>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</si>
  <si>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</si>
  <si>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</si>
  <si>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</si>
  <si>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</si>
  <si>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</si>
  <si>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</si>
  <si>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</si>
  <si>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</si>
  <si>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</si>
  <si>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</si>
  <si>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</si>
  <si>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</si>
  <si>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</si>
  <si>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</si>
  <si>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</si>
  <si>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</si>
  <si>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</si>
  <si>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</si>
  <si>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</si>
  <si>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</si>
  <si>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</si>
  <si>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</si>
  <si>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</si>
  <si>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</si>
  <si>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</si>
  <si>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</si>
  <si>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</si>
  <si>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</si>
  <si>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</si>
  <si>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</si>
  <si>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</si>
  <si>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</si>
  <si>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</si>
  <si>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</si>
  <si>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</si>
  <si>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</si>
  <si>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</si>
  <si>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</si>
  <si>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</si>
  <si>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</si>
  <si>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</si>
  <si>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</si>
  <si>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</si>
  <si>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</si>
  <si>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</si>
  <si>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</si>
  <si>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</si>
  <si>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</si>
  <si>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</si>
  <si>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</si>
  <si>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</si>
  <si>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</si>
  <si>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</si>
  <si>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</si>
  <si>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</si>
  <si>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</si>
  <si>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</si>
  <si>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</si>
  <si>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</si>
  <si>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</si>
  <si>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</si>
  <si>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</si>
  <si>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</si>
  <si>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</si>
  <si>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</si>
  <si>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</si>
  <si>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</si>
  <si>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</si>
  <si>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</si>
  <si>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</si>
  <si>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</si>
  <si>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</si>
  <si>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</si>
  <si>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</si>
  <si>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</si>
  <si>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</si>
  <si>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631.710.100 (+)  631.710.200</t>
  </si>
  <si>
    <t>==&gt; aba de RP</t>
  </si>
  <si>
    <t>==&gt; RPNP INSC LIQ</t>
  </si>
  <si>
    <t>==&gt; Prec. e Rpv's</t>
  </si>
  <si>
    <t>==&gt; Dif. Entre SIAFI e EXCEL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</si>
  <si>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</si>
  <si>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</si>
  <si>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</si>
  <si>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</si>
  <si>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</si>
  <si>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</si>
  <si>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</si>
  <si>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</si>
  <si>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</si>
  <si>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</si>
  <si>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</si>
  <si>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</si>
  <si>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</si>
  <si>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</si>
  <si>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</si>
  <si>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</si>
  <si>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</si>
  <si>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</si>
  <si>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Se = C16 então "OK"</t>
  </si>
  <si>
    <t>VALOR DAS SENTENÇAS JUDICIAIS</t>
  </si>
  <si>
    <t>THEREZINHA CAZERTA</t>
  </si>
  <si>
    <t>02/2018</t>
  </si>
  <si>
    <t>D</t>
  </si>
  <si>
    <t>03/2018</t>
  </si>
  <si>
    <t>março</t>
  </si>
  <si>
    <t>fev</t>
  </si>
  <si>
    <t>04/2018</t>
  </si>
  <si>
    <t>05/2018</t>
  </si>
  <si>
    <t>abr</t>
  </si>
  <si>
    <t>mai</t>
  </si>
  <si>
    <t>DIFERENÇA</t>
  </si>
  <si>
    <t>RPV SENTENÇAS JUDICIAIS</t>
  </si>
  <si>
    <t>RPV</t>
  </si>
  <si>
    <t>06/2018</t>
  </si>
  <si>
    <t>622.920.103 / 104 - EMPENHOS LIQUIDADOS</t>
  </si>
  <si>
    <t>JUN (ACUMULADO)</t>
  </si>
  <si>
    <t>TOTAL (NO MÊS)</t>
  </si>
  <si>
    <t>TOTAL SISTEMA (ACCESS)</t>
  </si>
  <si>
    <t>é "C16" ?? Então "OK"</t>
  </si>
  <si>
    <t>Conferência 2 (com células)</t>
  </si>
  <si>
    <t>Acumulado</t>
  </si>
  <si>
    <t>TOTAL FINANCEIRO ACCESS (ACUMULADO)</t>
  </si>
  <si>
    <t>TOTAL DO SISTEMA (MÊS)</t>
  </si>
  <si>
    <t>MÊSES ANTERIORES</t>
  </si>
  <si>
    <t>2) No mês de junho ocorreu alteração no inciso "V", alínea "b", devido a devolução de limite financeiro.</t>
  </si>
  <si>
    <t>07/2018</t>
  </si>
  <si>
    <t>13/08/2018 - 17:48:10</t>
  </si>
  <si>
    <t>13/08/2018 - 17:48:11</t>
  </si>
  <si>
    <t>13/08/2018-17:53:21</t>
  </si>
  <si>
    <t>THEREZINHA  CAZERTA</t>
  </si>
  <si>
    <t>2) no mês de julho ocorreu alteração no Inciso V, Inciso "b", devido a devolução de limite financeiro.</t>
  </si>
  <si>
    <t>JUL (ACUMULADO)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</si>
</sst>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20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0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1" fillId="0" borderId="0" xfId="0" applyNumberFormat="1" applyFont="1"/>
    <xf numFmtId="43" fontId="1" fillId="0" borderId="0" xfId="2" quotePrefix="1" applyFont="1"/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168" fontId="0" fillId="0" borderId="1" xfId="0" applyNumberFormat="1" applyBorder="1"/>
    <xf numFmtId="4" fontId="0" fillId="0" borderId="0" xfId="0" applyNumberFormat="1" applyBorder="1"/>
    <xf numFmtId="0" fontId="0" fillId="0" borderId="1" xfId="0" applyBorder="1" applyAlignment="1">
      <alignment horizontal="center"/>
    </xf>
    <xf numFmtId="0" fontId="12" fillId="0" borderId="0" xfId="0" applyFont="1"/>
    <xf numFmtId="43" fontId="1" fillId="0" borderId="1" xfId="2" applyFont="1" applyBorder="1" applyAlignment="1">
      <alignment horizont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25" xfId="0" applyNumberFormat="1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74544</xdr:colOff>
      <xdr:row>91</xdr:row>
      <xdr:rowOff>82826</xdr:rowOff>
    </xdr:from>
    <xdr:to>
      <xdr:col>5</xdr:col>
      <xdr:colOff>389283</xdr:colOff>
      <xdr:row>91</xdr:row>
      <xdr:rowOff>82826</xdr:rowOff>
    </xdr:to>
    <xdr:cxnSp macro="">
      <xdr:nvCxnSpPr>
        <xdr:cNvPr id="6" name="Conector de seta reta 5"/>
        <xdr:cNvCxnSpPr/>
      </xdr:nvCxnSpPr>
      <xdr:spPr>
        <a:xfrm>
          <a:off x="10151994" y="16113401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74544</xdr:colOff>
      <xdr:row>94</xdr:row>
      <xdr:rowOff>82826</xdr:rowOff>
    </xdr:from>
    <xdr:to>
      <xdr:col>5</xdr:col>
      <xdr:colOff>389283</xdr:colOff>
      <xdr:row>94</xdr:row>
      <xdr:rowOff>82826</xdr:rowOff>
    </xdr:to>
    <xdr:cxnSp macro="">
      <xdr:nvCxnSpPr>
        <xdr:cNvPr id="7" name="Conector de seta reta 6"/>
        <xdr:cNvCxnSpPr/>
      </xdr:nvCxnSpPr>
      <xdr:spPr>
        <a:xfrm>
          <a:off x="10151994" y="16599176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10"/>
  <sheetViews>
    <sheetView showGridLines="0" view="pageBreakPreview" topLeftCell="A80" zoomScale="115" zoomScaleNormal="100" zoomScaleSheetLayoutView="115" workbookViewId="0">
      <selection activeCell="A104" sqref="A104:E110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356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378</v>
      </c>
      <c r="C7" s="158"/>
    </row>
    <row r="8" spans="1:3" x14ac:dyDescent="0.2">
      <c r="A8" s="2" t="s">
        <v>37</v>
      </c>
      <c r="B8" s="159">
        <v>43151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258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266</v>
      </c>
      <c r="C16" s="10">
        <v>13402.65</v>
      </c>
    </row>
    <row r="17" spans="1:6" x14ac:dyDescent="0.2">
      <c r="A17" s="162" t="s">
        <v>70</v>
      </c>
      <c r="B17" s="162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267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259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2" t="s">
        <v>70</v>
      </c>
      <c r="B48" s="162"/>
      <c r="C48" s="10">
        <f>SUM(C22:C47)</f>
        <v>7195487.2399999993</v>
      </c>
      <c r="D48" s="32">
        <v>7195487.2400000002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2" t="s">
        <v>70</v>
      </c>
      <c r="B58" s="162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257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175</v>
      </c>
      <c r="C72" s="9">
        <f>'Financeiro - Access'!E4</f>
        <v>0</v>
      </c>
    </row>
    <row r="73" spans="1:3" x14ac:dyDescent="0.2">
      <c r="A73" s="2" t="s">
        <v>43</v>
      </c>
      <c r="B73" s="2" t="s">
        <v>260</v>
      </c>
      <c r="C73" s="9">
        <f>'Financeiro - Access'!E5</f>
        <v>0</v>
      </c>
    </row>
    <row r="74" spans="1:3" x14ac:dyDescent="0.2">
      <c r="A74" s="162" t="s">
        <v>70</v>
      </c>
      <c r="B74" s="162"/>
      <c r="C74" s="10">
        <f>SUM(C70:C73)</f>
        <v>162300052.45000002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5" x14ac:dyDescent="0.2">
      <c r="A81" s="2" t="s">
        <v>42</v>
      </c>
      <c r="B81" s="2" t="s">
        <v>263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2" t="s">
        <v>70</v>
      </c>
      <c r="B83" s="162"/>
      <c r="C83" s="10">
        <f>SUM(C79:C82)</f>
        <v>0</v>
      </c>
    </row>
    <row r="84" spans="1:5" x14ac:dyDescent="0.2">
      <c r="A84" s="155" t="s">
        <v>315</v>
      </c>
      <c r="B84" s="156"/>
      <c r="C84" s="156"/>
    </row>
    <row r="85" spans="1:5" x14ac:dyDescent="0.2">
      <c r="A85" s="100"/>
      <c r="B85" s="101"/>
      <c r="C85" s="101"/>
    </row>
    <row r="89" spans="1:5" x14ac:dyDescent="0.2">
      <c r="A89" s="164" t="s">
        <v>98</v>
      </c>
      <c r="B89" s="164"/>
      <c r="C89" s="164"/>
      <c r="D89" s="164"/>
      <c r="E89" s="164"/>
    </row>
    <row r="90" spans="1:5" x14ac:dyDescent="0.2">
      <c r="A90" s="140"/>
      <c r="B90" s="140"/>
      <c r="C90" s="140"/>
      <c r="D90" s="120"/>
      <c r="E90" s="120"/>
    </row>
    <row r="91" spans="1:5" x14ac:dyDescent="0.2">
      <c r="C91" s="11" t="s">
        <v>99</v>
      </c>
      <c r="D91" s="141"/>
      <c r="E91" s="141" t="s">
        <v>70</v>
      </c>
    </row>
    <row r="92" spans="1:5" x14ac:dyDescent="0.2">
      <c r="A92" s="165" t="s">
        <v>355</v>
      </c>
      <c r="B92" s="166"/>
      <c r="C92" s="9">
        <f>157279473.66</f>
        <v>157279473.66</v>
      </c>
      <c r="D92" s="135">
        <v>0</v>
      </c>
      <c r="E92" s="135">
        <f>+C92-D92</f>
        <v>157279473.66</v>
      </c>
    </row>
    <row r="93" spans="1:5" x14ac:dyDescent="0.2">
      <c r="A93" s="165"/>
      <c r="B93" s="166"/>
      <c r="C93" s="9"/>
      <c r="D93" s="135"/>
      <c r="E93" s="135">
        <v>0</v>
      </c>
    </row>
    <row r="94" spans="1:5" x14ac:dyDescent="0.2">
      <c r="A94" s="165"/>
      <c r="B94" s="166"/>
      <c r="C94" s="9"/>
      <c r="D94" s="135"/>
      <c r="E94" s="135">
        <v>0</v>
      </c>
    </row>
    <row r="95" spans="1:5" x14ac:dyDescent="0.2">
      <c r="A95" s="160" t="s">
        <v>96</v>
      </c>
      <c r="B95" s="160"/>
      <c r="C95" s="160"/>
      <c r="D95" s="160"/>
      <c r="E95" s="142">
        <f>SUM(E92:E94)</f>
        <v>157279473.66</v>
      </c>
    </row>
    <row r="96" spans="1:5" x14ac:dyDescent="0.2">
      <c r="A96" s="160" t="s">
        <v>97</v>
      </c>
      <c r="B96" s="160"/>
      <c r="C96" s="160"/>
      <c r="D96" s="160"/>
      <c r="E96" s="142">
        <f>$C$17+$C$48+$C$58+$C$65</f>
        <v>157292876.31000003</v>
      </c>
    </row>
    <row r="97" spans="1:7" x14ac:dyDescent="0.2">
      <c r="D97" s="120"/>
      <c r="E97" s="120"/>
    </row>
    <row r="98" spans="1:7" x14ac:dyDescent="0.2">
      <c r="D98" s="120"/>
      <c r="E98" s="120"/>
      <c r="G98" s="87" t="s">
        <v>380</v>
      </c>
    </row>
    <row r="99" spans="1:7" x14ac:dyDescent="0.2">
      <c r="D99" s="118" t="s">
        <v>270</v>
      </c>
      <c r="E99" s="143">
        <v>157279473.66</v>
      </c>
    </row>
    <row r="100" spans="1:7" x14ac:dyDescent="0.2">
      <c r="D100" s="120"/>
      <c r="E100" s="118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20"/>
      <c r="E101" s="144"/>
    </row>
    <row r="103" spans="1:7" x14ac:dyDescent="0.2">
      <c r="A103" s="164" t="s">
        <v>379</v>
      </c>
      <c r="B103" s="164"/>
      <c r="C103" s="164"/>
      <c r="D103" s="164"/>
      <c r="E103" s="164"/>
    </row>
    <row r="104" spans="1:7" x14ac:dyDescent="0.2">
      <c r="D104" s="89"/>
      <c r="E104" s="89"/>
    </row>
    <row r="105" spans="1:7" x14ac:dyDescent="0.2">
      <c r="A105" s="169" t="s">
        <v>403</v>
      </c>
      <c r="B105" s="166"/>
      <c r="C105" s="9">
        <f>'Financeiro - Access'!E9</f>
        <v>162300052.45000002</v>
      </c>
      <c r="D105" s="120"/>
      <c r="E105" s="120"/>
    </row>
    <row r="106" spans="1:7" x14ac:dyDescent="0.2">
      <c r="A106" s="170" t="s">
        <v>404</v>
      </c>
      <c r="B106" s="166"/>
      <c r="C106" s="9">
        <f>C74</f>
        <v>162300052.45000002</v>
      </c>
      <c r="D106" s="120"/>
      <c r="E106" s="120"/>
    </row>
    <row r="107" spans="1:7" x14ac:dyDescent="0.2">
      <c r="A107" s="165"/>
      <c r="B107" s="166"/>
      <c r="C107" s="9">
        <f>+C105-C106</f>
        <v>0</v>
      </c>
      <c r="D107" s="151"/>
      <c r="E107" s="120"/>
    </row>
    <row r="108" spans="1:7" x14ac:dyDescent="0.2">
      <c r="A108" s="170" t="s">
        <v>405</v>
      </c>
      <c r="B108" s="171"/>
      <c r="C108" s="9">
        <v>0</v>
      </c>
      <c r="D108"/>
      <c r="E108"/>
    </row>
    <row r="109" spans="1:7" x14ac:dyDescent="0.2">
      <c r="A109" s="167" t="s">
        <v>392</v>
      </c>
      <c r="B109" s="168"/>
      <c r="C109" s="9">
        <f>C107-C108</f>
        <v>0</v>
      </c>
      <c r="D109"/>
      <c r="E109"/>
    </row>
    <row r="110" spans="1:7" x14ac:dyDescent="0.2">
      <c r="D110"/>
      <c r="E110"/>
    </row>
  </sheetData>
  <mergeCells count="27">
    <mergeCell ref="A109:B109"/>
    <mergeCell ref="A103:E103"/>
    <mergeCell ref="A105:B105"/>
    <mergeCell ref="A106:B106"/>
    <mergeCell ref="A107:B107"/>
    <mergeCell ref="A108:B108"/>
    <mergeCell ref="A96:D96"/>
    <mergeCell ref="A89:E89"/>
    <mergeCell ref="A92:B92"/>
    <mergeCell ref="A93:B93"/>
    <mergeCell ref="A94:B94"/>
    <mergeCell ref="A95:D95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64" zoomScale="130" zoomScaleNormal="100" zoomScaleSheetLayoutView="130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356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364</v>
      </c>
      <c r="C7" s="158"/>
    </row>
    <row r="8" spans="1:3" x14ac:dyDescent="0.2">
      <c r="A8" s="2" t="s">
        <v>37</v>
      </c>
      <c r="B8" s="159">
        <v>43056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258</v>
      </c>
      <c r="C15" s="10">
        <f>+'Despesa - Access'!N4</f>
        <v>0</v>
      </c>
    </row>
    <row r="16" spans="1:3" ht="51" x14ac:dyDescent="0.2">
      <c r="A16" s="6" t="s">
        <v>43</v>
      </c>
      <c r="B16" s="5" t="s">
        <v>266</v>
      </c>
      <c r="C16" s="91">
        <v>140903.09</v>
      </c>
    </row>
    <row r="17" spans="1:5" x14ac:dyDescent="0.2">
      <c r="A17" s="162" t="s">
        <v>70</v>
      </c>
      <c r="B17" s="162"/>
      <c r="C17" s="10">
        <f>SUM(C13:C16)</f>
        <v>140903.09</v>
      </c>
      <c r="E17" s="107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267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259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2" t="s">
        <v>70</v>
      </c>
      <c r="B48" s="162"/>
      <c r="C48" s="10">
        <f>SUM(C22:C47)</f>
        <v>0</v>
      </c>
      <c r="E48" s="107"/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2" t="s">
        <v>70</v>
      </c>
      <c r="B58" s="162"/>
      <c r="C58" s="10">
        <f>SUM(C53:C57)</f>
        <v>0</v>
      </c>
      <c r="E58" s="107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175</v>
      </c>
      <c r="C72" s="9">
        <f>+'Financeiro - Access'!N4</f>
        <v>0</v>
      </c>
    </row>
    <row r="73" spans="1:3" x14ac:dyDescent="0.2">
      <c r="A73" s="2" t="s">
        <v>43</v>
      </c>
      <c r="B73" s="2" t="s">
        <v>260</v>
      </c>
      <c r="C73" s="9">
        <f>+'Financeiro - Access'!N5</f>
        <v>0</v>
      </c>
    </row>
    <row r="74" spans="1:3" x14ac:dyDescent="0.2">
      <c r="A74" s="162" t="s">
        <v>70</v>
      </c>
      <c r="B74" s="162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2" t="s">
        <v>70</v>
      </c>
      <c r="B83" s="162"/>
      <c r="C83" s="10">
        <f>SUM(C79:C82)</f>
        <v>5930657</v>
      </c>
    </row>
    <row r="84" spans="1:7" x14ac:dyDescent="0.2">
      <c r="A84" s="174" t="s">
        <v>315</v>
      </c>
      <c r="B84" s="174"/>
      <c r="C84" s="174"/>
    </row>
    <row r="85" spans="1:7" x14ac:dyDescent="0.2">
      <c r="A85" s="133" t="s">
        <v>365</v>
      </c>
    </row>
    <row r="87" spans="1:7" x14ac:dyDescent="0.2">
      <c r="A87" s="164" t="s">
        <v>98</v>
      </c>
      <c r="B87" s="164"/>
      <c r="C87" s="164"/>
      <c r="D87" s="164"/>
      <c r="E87" s="164"/>
    </row>
    <row r="88" spans="1:7" x14ac:dyDescent="0.2">
      <c r="A88" s="106"/>
      <c r="B88" s="106"/>
      <c r="C88" s="106"/>
      <c r="D88"/>
      <c r="E88"/>
    </row>
    <row r="89" spans="1:7" x14ac:dyDescent="0.2">
      <c r="C89" s="11" t="s">
        <v>106</v>
      </c>
      <c r="D89" s="3" t="s">
        <v>105</v>
      </c>
      <c r="E89" s="3" t="s">
        <v>70</v>
      </c>
    </row>
    <row r="90" spans="1:7" x14ac:dyDescent="0.2">
      <c r="A90" s="165"/>
      <c r="B90" s="166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5" t="s">
        <v>355</v>
      </c>
      <c r="B91" s="166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65" t="s">
        <v>121</v>
      </c>
      <c r="B92" s="166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0" t="s">
        <v>96</v>
      </c>
      <c r="B93" s="160"/>
      <c r="C93" s="160"/>
      <c r="D93" s="160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0" t="s">
        <v>97</v>
      </c>
      <c r="B94" s="160"/>
      <c r="C94" s="160"/>
      <c r="D94" s="160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270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314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1" t="s">
        <v>246</v>
      </c>
      <c r="B1" s="161"/>
      <c r="C1" s="161"/>
    </row>
    <row r="3" spans="1:7" x14ac:dyDescent="0.2">
      <c r="A3" s="2" t="s">
        <v>32</v>
      </c>
      <c r="B3" s="160" t="s">
        <v>247</v>
      </c>
      <c r="C3" s="160"/>
    </row>
    <row r="4" spans="1:7" x14ac:dyDescent="0.2">
      <c r="A4" s="2" t="s">
        <v>33</v>
      </c>
      <c r="B4" s="160" t="s">
        <v>248</v>
      </c>
      <c r="C4" s="160"/>
    </row>
    <row r="5" spans="1:7" x14ac:dyDescent="0.2">
      <c r="A5" s="2" t="s">
        <v>34</v>
      </c>
      <c r="B5" s="160" t="s">
        <v>356</v>
      </c>
      <c r="C5" s="160"/>
    </row>
    <row r="6" spans="1:7" x14ac:dyDescent="0.2">
      <c r="A6" s="2" t="s">
        <v>35</v>
      </c>
      <c r="B6" s="160" t="s">
        <v>249</v>
      </c>
      <c r="C6" s="160"/>
    </row>
    <row r="7" spans="1:7" x14ac:dyDescent="0.2">
      <c r="A7" s="2" t="s">
        <v>36</v>
      </c>
      <c r="B7" s="157" t="s">
        <v>366</v>
      </c>
      <c r="C7" s="158"/>
    </row>
    <row r="8" spans="1:7" x14ac:dyDescent="0.2">
      <c r="A8" s="2" t="s">
        <v>37</v>
      </c>
      <c r="B8" s="159">
        <v>43089</v>
      </c>
      <c r="C8" s="160"/>
    </row>
    <row r="10" spans="1:7" x14ac:dyDescent="0.2">
      <c r="A10" s="4" t="s">
        <v>250</v>
      </c>
    </row>
    <row r="12" spans="1:7" x14ac:dyDescent="0.2">
      <c r="A12" s="3" t="s">
        <v>38</v>
      </c>
      <c r="B12" s="3" t="s">
        <v>39</v>
      </c>
      <c r="C12" s="11" t="s">
        <v>264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258</v>
      </c>
      <c r="C15" s="10">
        <f>'Despesa - Access'!O4</f>
        <v>0</v>
      </c>
    </row>
    <row r="16" spans="1:7" ht="51" x14ac:dyDescent="0.2">
      <c r="A16" s="6" t="s">
        <v>43</v>
      </c>
      <c r="B16" s="5" t="s">
        <v>266</v>
      </c>
      <c r="C16" s="10">
        <f>4426.25+7833.17</f>
        <v>12259.42</v>
      </c>
      <c r="D16" s="134"/>
      <c r="E16" s="134"/>
      <c r="F16" s="134"/>
      <c r="G16" s="89"/>
    </row>
    <row r="17" spans="1:7" x14ac:dyDescent="0.2">
      <c r="A17" s="162" t="s">
        <v>70</v>
      </c>
      <c r="B17" s="162"/>
      <c r="C17" s="10">
        <f>SUM(C13:C16)</f>
        <v>12259.42</v>
      </c>
      <c r="D17" s="135"/>
      <c r="E17" s="135"/>
      <c r="F17" s="135"/>
      <c r="G17" s="89"/>
    </row>
    <row r="18" spans="1:7" x14ac:dyDescent="0.2">
      <c r="D18" s="120"/>
      <c r="E18" s="120"/>
      <c r="F18" s="120"/>
      <c r="G18" s="89"/>
    </row>
    <row r="19" spans="1:7" x14ac:dyDescent="0.2">
      <c r="A19" s="4" t="s">
        <v>71</v>
      </c>
      <c r="D19" s="120"/>
      <c r="E19" s="120"/>
      <c r="F19" s="120"/>
      <c r="G19" s="89"/>
    </row>
    <row r="20" spans="1:7" x14ac:dyDescent="0.2">
      <c r="D20" s="120"/>
      <c r="E20" s="120"/>
      <c r="F20" s="120"/>
      <c r="G20" s="89"/>
    </row>
    <row r="21" spans="1:7" x14ac:dyDescent="0.2">
      <c r="A21" s="3" t="s">
        <v>38</v>
      </c>
      <c r="B21" s="3" t="s">
        <v>39</v>
      </c>
      <c r="C21" s="11" t="s">
        <v>265</v>
      </c>
      <c r="D21" s="120"/>
      <c r="E21" s="120"/>
      <c r="F21" s="120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0"/>
      <c r="E22" s="120"/>
      <c r="F22" s="120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0"/>
      <c r="E23" s="120"/>
      <c r="F23" s="120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0"/>
      <c r="E24" s="120"/>
      <c r="F24" s="120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0"/>
      <c r="E25" s="120"/>
      <c r="F25" s="120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0"/>
      <c r="E26" s="120"/>
      <c r="F26" s="120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0"/>
      <c r="E27" s="120"/>
      <c r="F27" s="120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0"/>
      <c r="E28" s="120"/>
      <c r="F28" s="120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0"/>
      <c r="E29" s="120"/>
      <c r="F29" s="120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0"/>
      <c r="E30" s="120"/>
      <c r="F30" s="120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0"/>
      <c r="E31" s="120"/>
      <c r="F31" s="120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0"/>
      <c r="E32" s="120"/>
      <c r="F32" s="120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0"/>
      <c r="E33" s="120"/>
      <c r="F33" s="120"/>
      <c r="G33" s="89"/>
    </row>
    <row r="34" spans="1:7" ht="63.75" x14ac:dyDescent="0.2">
      <c r="A34" s="6" t="s">
        <v>52</v>
      </c>
      <c r="B34" s="7" t="s">
        <v>269</v>
      </c>
      <c r="C34" s="9">
        <f>'Despesa - Access'!O18</f>
        <v>0</v>
      </c>
      <c r="D34" s="120"/>
      <c r="E34" s="120"/>
      <c r="F34" s="136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0"/>
      <c r="E35" s="120"/>
      <c r="F35" s="135"/>
      <c r="G35" s="89"/>
    </row>
    <row r="36" spans="1:7" x14ac:dyDescent="0.2">
      <c r="A36" s="2" t="s">
        <v>54</v>
      </c>
      <c r="B36" s="2" t="s">
        <v>259</v>
      </c>
      <c r="C36" s="9">
        <f>'Despesa - Access'!O20</f>
        <v>0</v>
      </c>
      <c r="D36" s="120"/>
      <c r="E36" s="120"/>
      <c r="F36" s="120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0"/>
      <c r="E37" s="120"/>
      <c r="F37" s="120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0"/>
      <c r="E38" s="120"/>
      <c r="F38" s="120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0"/>
      <c r="E39" s="120"/>
      <c r="F39" s="120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0"/>
      <c r="E40" s="120"/>
      <c r="F40" s="120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0"/>
      <c r="E41" s="120"/>
      <c r="F41" s="120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0"/>
      <c r="E42" s="120"/>
      <c r="F42" s="120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0"/>
      <c r="E43" s="120"/>
      <c r="F43" s="120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0"/>
      <c r="E44" s="120"/>
      <c r="F44" s="120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0"/>
      <c r="E45" s="120"/>
      <c r="F45" s="120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0"/>
      <c r="E46" s="120"/>
      <c r="F46" s="120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34"/>
      <c r="E47" s="134"/>
      <c r="F47" s="134"/>
      <c r="G47" s="89"/>
    </row>
    <row r="48" spans="1:7" x14ac:dyDescent="0.2">
      <c r="A48" s="162" t="s">
        <v>70</v>
      </c>
      <c r="B48" s="162"/>
      <c r="C48" s="10">
        <f>SUM(C22:C47)</f>
        <v>0</v>
      </c>
      <c r="D48" s="135"/>
      <c r="E48" s="135"/>
      <c r="F48" s="135"/>
      <c r="G48" s="89"/>
    </row>
    <row r="49" spans="1:7" x14ac:dyDescent="0.2">
      <c r="D49" s="120"/>
      <c r="E49" s="120"/>
      <c r="F49" s="120"/>
      <c r="G49" s="89"/>
    </row>
    <row r="50" spans="1:7" x14ac:dyDescent="0.2">
      <c r="A50" s="4" t="s">
        <v>251</v>
      </c>
      <c r="D50" s="120"/>
      <c r="E50" s="120"/>
      <c r="F50" s="120"/>
      <c r="G50" s="89"/>
    </row>
    <row r="51" spans="1:7" x14ac:dyDescent="0.2">
      <c r="D51" s="120"/>
      <c r="E51" s="120"/>
      <c r="F51" s="120"/>
      <c r="G51" s="89"/>
    </row>
    <row r="52" spans="1:7" x14ac:dyDescent="0.2">
      <c r="A52" s="3" t="s">
        <v>38</v>
      </c>
      <c r="B52" s="3" t="s">
        <v>39</v>
      </c>
      <c r="C52" s="11" t="s">
        <v>265</v>
      </c>
      <c r="D52" s="120"/>
      <c r="E52" s="120"/>
      <c r="F52" s="120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0"/>
      <c r="E53" s="120"/>
      <c r="F53" s="120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0"/>
      <c r="E54" s="120"/>
      <c r="F54" s="120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0"/>
      <c r="E55" s="120"/>
      <c r="F55" s="120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0"/>
      <c r="E56" s="120"/>
      <c r="F56" s="120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34"/>
      <c r="E57" s="134"/>
      <c r="F57" s="134"/>
      <c r="G57" s="89"/>
    </row>
    <row r="58" spans="1:7" x14ac:dyDescent="0.2">
      <c r="A58" s="162" t="s">
        <v>70</v>
      </c>
      <c r="B58" s="162"/>
      <c r="C58" s="10">
        <f>SUM(C53:C57)</f>
        <v>0</v>
      </c>
      <c r="D58" s="135"/>
      <c r="E58" s="135"/>
      <c r="F58" s="135"/>
      <c r="G58" s="89"/>
    </row>
    <row r="59" spans="1:7" x14ac:dyDescent="0.2">
      <c r="D59" s="120"/>
      <c r="E59" s="120"/>
      <c r="F59" s="120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265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175</v>
      </c>
      <c r="C72" s="9">
        <f>'Financeiro - Access'!O4</f>
        <v>0</v>
      </c>
    </row>
    <row r="73" spans="1:3" x14ac:dyDescent="0.2">
      <c r="A73" s="2" t="s">
        <v>43</v>
      </c>
      <c r="B73" s="2" t="s">
        <v>260</v>
      </c>
      <c r="C73" s="9">
        <f>'Financeiro - Access'!O5</f>
        <v>0</v>
      </c>
    </row>
    <row r="74" spans="1:3" x14ac:dyDescent="0.2">
      <c r="A74" s="162" t="s">
        <v>70</v>
      </c>
      <c r="B74" s="162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2" t="s">
        <v>70</v>
      </c>
      <c r="B83" s="162"/>
      <c r="C83" s="10">
        <f>SUM(C79:C82)</f>
        <v>0</v>
      </c>
    </row>
    <row r="84" spans="1:7" x14ac:dyDescent="0.2">
      <c r="A84" s="174" t="s">
        <v>315</v>
      </c>
      <c r="B84" s="174"/>
      <c r="C84" s="174"/>
    </row>
    <row r="87" spans="1:7" x14ac:dyDescent="0.2">
      <c r="A87" s="164" t="s">
        <v>98</v>
      </c>
      <c r="B87" s="164"/>
      <c r="C87" s="164"/>
      <c r="D87" s="164"/>
      <c r="E87" s="164"/>
    </row>
    <row r="88" spans="1:7" x14ac:dyDescent="0.2">
      <c r="A88" s="108"/>
      <c r="B88" s="108"/>
      <c r="C88" s="10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65"/>
      <c r="B90" s="166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5" t="s">
        <v>355</v>
      </c>
      <c r="B91" s="166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65" t="s">
        <v>121</v>
      </c>
      <c r="B92" s="166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0" t="s">
        <v>96</v>
      </c>
      <c r="B93" s="160"/>
      <c r="C93" s="160"/>
      <c r="D93" s="160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0" t="s">
        <v>97</v>
      </c>
      <c r="B94" s="160"/>
      <c r="C94" s="160"/>
      <c r="D94" s="160"/>
      <c r="E94" s="27">
        <f>$C$17+$C$48+$C$58+$C$65</f>
        <v>12259.42</v>
      </c>
    </row>
    <row r="96" spans="1:7" x14ac:dyDescent="0.2">
      <c r="D96" s="85" t="s">
        <v>270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314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1" t="s">
        <v>246</v>
      </c>
      <c r="B1" s="161"/>
      <c r="C1" s="161"/>
    </row>
    <row r="3" spans="1:7" x14ac:dyDescent="0.2">
      <c r="A3" s="2" t="s">
        <v>32</v>
      </c>
      <c r="B3" s="160" t="s">
        <v>247</v>
      </c>
      <c r="C3" s="160"/>
    </row>
    <row r="4" spans="1:7" x14ac:dyDescent="0.2">
      <c r="A4" s="2" t="s">
        <v>33</v>
      </c>
      <c r="B4" s="160" t="s">
        <v>248</v>
      </c>
      <c r="C4" s="160"/>
    </row>
    <row r="5" spans="1:7" x14ac:dyDescent="0.2">
      <c r="A5" s="2" t="s">
        <v>34</v>
      </c>
      <c r="B5" s="160" t="s">
        <v>356</v>
      </c>
      <c r="C5" s="160"/>
    </row>
    <row r="6" spans="1:7" x14ac:dyDescent="0.2">
      <c r="A6" s="2" t="s">
        <v>35</v>
      </c>
      <c r="B6" s="160" t="s">
        <v>249</v>
      </c>
      <c r="C6" s="160"/>
    </row>
    <row r="7" spans="1:7" x14ac:dyDescent="0.2">
      <c r="A7" s="2" t="s">
        <v>36</v>
      </c>
      <c r="B7" s="157" t="s">
        <v>374</v>
      </c>
      <c r="C7" s="158"/>
    </row>
    <row r="8" spans="1:7" x14ac:dyDescent="0.2">
      <c r="A8" s="2" t="s">
        <v>37</v>
      </c>
      <c r="B8" s="159">
        <v>43119</v>
      </c>
      <c r="C8" s="160"/>
    </row>
    <row r="10" spans="1:7" x14ac:dyDescent="0.2">
      <c r="A10" s="4" t="s">
        <v>250</v>
      </c>
    </row>
    <row r="12" spans="1:7" x14ac:dyDescent="0.2">
      <c r="A12" s="3" t="s">
        <v>38</v>
      </c>
      <c r="B12" s="3" t="s">
        <v>39</v>
      </c>
      <c r="C12" s="11" t="s">
        <v>264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258</v>
      </c>
      <c r="C15" s="10">
        <f>'Despesa - Access'!P4</f>
        <v>0</v>
      </c>
    </row>
    <row r="16" spans="1:7" ht="51" x14ac:dyDescent="0.2">
      <c r="A16" s="6" t="s">
        <v>43</v>
      </c>
      <c r="B16" s="5" t="s">
        <v>266</v>
      </c>
      <c r="C16" s="10">
        <v>11928.3</v>
      </c>
      <c r="D16" s="134" t="s">
        <v>367</v>
      </c>
      <c r="E16" s="134" t="s">
        <v>368</v>
      </c>
      <c r="F16" s="134" t="s">
        <v>369</v>
      </c>
      <c r="G16" s="89"/>
    </row>
    <row r="17" spans="1:8" x14ac:dyDescent="0.2">
      <c r="A17" s="162" t="s">
        <v>70</v>
      </c>
      <c r="B17" s="162"/>
      <c r="C17" s="10">
        <f>SUM(C13:C16)</f>
        <v>11928.3</v>
      </c>
      <c r="D17" s="135">
        <v>117443641.14</v>
      </c>
      <c r="E17" s="135">
        <f>-2267450</f>
        <v>-2267450</v>
      </c>
      <c r="F17" s="135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0"/>
      <c r="E18" s="120"/>
      <c r="F18" s="120"/>
      <c r="G18" s="89"/>
    </row>
    <row r="19" spans="1:8" x14ac:dyDescent="0.2">
      <c r="A19" s="4" t="s">
        <v>71</v>
      </c>
      <c r="D19" s="120"/>
      <c r="E19" s="120"/>
      <c r="F19" s="120"/>
      <c r="G19" s="89"/>
    </row>
    <row r="20" spans="1:8" x14ac:dyDescent="0.2">
      <c r="D20" s="120"/>
      <c r="E20" s="120"/>
      <c r="F20" s="120"/>
      <c r="G20" s="89"/>
    </row>
    <row r="21" spans="1:8" x14ac:dyDescent="0.2">
      <c r="A21" s="3" t="s">
        <v>38</v>
      </c>
      <c r="B21" s="3" t="s">
        <v>39</v>
      </c>
      <c r="C21" s="11" t="s">
        <v>265</v>
      </c>
      <c r="D21" s="120"/>
      <c r="E21" s="120"/>
      <c r="F21" s="120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0"/>
      <c r="E22" s="120"/>
      <c r="F22" s="120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0"/>
      <c r="E23" s="120"/>
      <c r="F23" s="120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0"/>
      <c r="E24" s="120"/>
      <c r="F24" s="120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0"/>
      <c r="E25" s="120"/>
      <c r="F25" s="120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0"/>
      <c r="E26" s="120"/>
      <c r="F26" s="120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0"/>
      <c r="E27" s="120"/>
      <c r="F27" s="120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0"/>
      <c r="E28" s="120"/>
      <c r="F28" s="120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0"/>
      <c r="E29" s="120"/>
      <c r="F29" s="120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0"/>
      <c r="E30" s="120"/>
      <c r="F30" s="120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0"/>
      <c r="E31" s="120"/>
      <c r="F31" s="120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0"/>
      <c r="E32" s="120"/>
      <c r="F32" s="120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0"/>
      <c r="E33" s="120"/>
      <c r="F33" s="120"/>
      <c r="G33" s="89"/>
    </row>
    <row r="34" spans="1:8" ht="63.75" x14ac:dyDescent="0.2">
      <c r="A34" s="6" t="s">
        <v>52</v>
      </c>
      <c r="B34" s="7" t="s">
        <v>267</v>
      </c>
      <c r="C34" s="9">
        <f>'Despesa - Access'!P18</f>
        <v>0</v>
      </c>
      <c r="D34" s="120"/>
      <c r="E34" s="120"/>
      <c r="F34" s="136" t="s">
        <v>370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0"/>
      <c r="E35" s="120"/>
      <c r="F35" s="135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259</v>
      </c>
      <c r="C36" s="9">
        <f>'Despesa - Access'!P20</f>
        <v>0</v>
      </c>
      <c r="D36" s="120"/>
      <c r="E36" s="120"/>
      <c r="F36" s="120"/>
      <c r="G36" s="89"/>
      <c r="H36" s="138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0"/>
      <c r="E37" s="120"/>
      <c r="F37" s="120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0"/>
      <c r="E38" s="120"/>
      <c r="F38" s="120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0"/>
      <c r="E39" s="120"/>
      <c r="F39" s="120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0"/>
      <c r="E40" s="120"/>
      <c r="F40" s="120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0"/>
      <c r="E41" s="120"/>
      <c r="F41" s="120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0"/>
      <c r="E42" s="120"/>
      <c r="F42" s="120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0"/>
      <c r="E43" s="120"/>
      <c r="F43" s="120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0"/>
      <c r="E44" s="120"/>
      <c r="F44" s="120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0"/>
      <c r="E45" s="120"/>
      <c r="F45" s="120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0"/>
      <c r="E46" s="120"/>
      <c r="F46" s="120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34" t="s">
        <v>367</v>
      </c>
      <c r="E47" s="134" t="s">
        <v>368</v>
      </c>
      <c r="F47" s="134" t="s">
        <v>369</v>
      </c>
      <c r="G47" s="89"/>
    </row>
    <row r="48" spans="1:8" x14ac:dyDescent="0.2">
      <c r="A48" s="162" t="s">
        <v>70</v>
      </c>
      <c r="B48" s="162"/>
      <c r="C48" s="10">
        <f>SUM(C22:C47)</f>
        <v>0</v>
      </c>
      <c r="D48" s="135">
        <v>37550835.590000004</v>
      </c>
      <c r="E48" s="135">
        <v>-28145807.34</v>
      </c>
      <c r="F48" s="139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0"/>
      <c r="E49" s="120"/>
      <c r="F49" s="120"/>
      <c r="G49" s="89"/>
    </row>
    <row r="50" spans="1:8" x14ac:dyDescent="0.2">
      <c r="A50" s="4" t="s">
        <v>251</v>
      </c>
      <c r="D50" s="120"/>
      <c r="E50" s="120"/>
      <c r="F50" s="120"/>
      <c r="G50" s="89"/>
    </row>
    <row r="51" spans="1:8" x14ac:dyDescent="0.2">
      <c r="D51" s="120"/>
      <c r="E51" s="120"/>
      <c r="F51" s="120"/>
      <c r="G51" s="89"/>
    </row>
    <row r="52" spans="1:8" x14ac:dyDescent="0.2">
      <c r="A52" s="3" t="s">
        <v>38</v>
      </c>
      <c r="B52" s="3" t="s">
        <v>39</v>
      </c>
      <c r="C52" s="11" t="s">
        <v>265</v>
      </c>
      <c r="D52" s="120"/>
      <c r="E52" s="120"/>
      <c r="F52" s="120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0"/>
      <c r="E53" s="120"/>
      <c r="F53" s="120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0"/>
      <c r="E54" s="120"/>
      <c r="F54" s="120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0"/>
      <c r="E55" s="120"/>
      <c r="F55" s="120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0"/>
      <c r="E56" s="120"/>
      <c r="F56" s="120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34" t="s">
        <v>367</v>
      </c>
      <c r="E57" s="134" t="s">
        <v>368</v>
      </c>
      <c r="F57" s="134" t="s">
        <v>369</v>
      </c>
      <c r="G57" s="89"/>
    </row>
    <row r="58" spans="1:8" x14ac:dyDescent="0.2">
      <c r="A58" s="162" t="s">
        <v>70</v>
      </c>
      <c r="B58" s="162"/>
      <c r="C58" s="10">
        <f>SUM(C53:C57)</f>
        <v>0</v>
      </c>
      <c r="D58" s="135">
        <v>5315655.3499999996</v>
      </c>
      <c r="E58" s="135">
        <v>-16886531.5</v>
      </c>
      <c r="F58" s="135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0"/>
      <c r="E59" s="120"/>
      <c r="F59" s="120"/>
      <c r="G59" s="89"/>
    </row>
    <row r="60" spans="1:8" x14ac:dyDescent="0.2">
      <c r="A60" s="4" t="s">
        <v>72</v>
      </c>
      <c r="D60" s="120"/>
      <c r="E60" s="120"/>
      <c r="F60" s="137"/>
      <c r="G60" s="89"/>
    </row>
    <row r="61" spans="1:8" x14ac:dyDescent="0.2">
      <c r="F61" s="122"/>
    </row>
    <row r="62" spans="1:8" x14ac:dyDescent="0.2">
      <c r="A62" s="3" t="s">
        <v>38</v>
      </c>
      <c r="B62" s="3" t="s">
        <v>39</v>
      </c>
      <c r="C62" s="11" t="s">
        <v>265</v>
      </c>
      <c r="F62" s="122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2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34" t="s">
        <v>367</v>
      </c>
      <c r="E64" s="134" t="s">
        <v>368</v>
      </c>
      <c r="F64" s="134" t="s">
        <v>369</v>
      </c>
      <c r="G64" s="89"/>
    </row>
    <row r="65" spans="1:7" x14ac:dyDescent="0.2">
      <c r="A65" s="162" t="s">
        <v>70</v>
      </c>
      <c r="B65" s="162"/>
      <c r="C65" s="10">
        <f>SUM(C63:C64)</f>
        <v>0</v>
      </c>
      <c r="D65" s="135">
        <v>25000000</v>
      </c>
      <c r="E65" s="135">
        <v>0</v>
      </c>
      <c r="F65" s="135">
        <v>0</v>
      </c>
      <c r="G65" s="89">
        <f>+C65-D65+F65+E65</f>
        <v>-25000000</v>
      </c>
    </row>
    <row r="66" spans="1:7" x14ac:dyDescent="0.2">
      <c r="A66" s="163"/>
      <c r="B66" s="163"/>
      <c r="C66" s="163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265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175</v>
      </c>
      <c r="C72" s="9">
        <f>'Financeiro - Access'!P4</f>
        <v>0</v>
      </c>
    </row>
    <row r="73" spans="1:7" x14ac:dyDescent="0.2">
      <c r="A73" s="2" t="s">
        <v>43</v>
      </c>
      <c r="B73" s="2" t="s">
        <v>260</v>
      </c>
      <c r="C73" s="9">
        <f>'Financeiro - Access'!P5</f>
        <v>0</v>
      </c>
    </row>
    <row r="74" spans="1:7" x14ac:dyDescent="0.2">
      <c r="A74" s="162" t="s">
        <v>70</v>
      </c>
      <c r="B74" s="162"/>
      <c r="C74" s="10">
        <f>SUM(C70:C73)</f>
        <v>0</v>
      </c>
    </row>
    <row r="76" spans="1:7" x14ac:dyDescent="0.2">
      <c r="A76" s="4" t="s">
        <v>244</v>
      </c>
    </row>
    <row r="78" spans="1:7" x14ac:dyDescent="0.2">
      <c r="A78" s="3" t="s">
        <v>38</v>
      </c>
      <c r="B78" s="3" t="s">
        <v>39</v>
      </c>
      <c r="C78" s="11" t="s">
        <v>265</v>
      </c>
    </row>
    <row r="79" spans="1:7" x14ac:dyDescent="0.2">
      <c r="A79" s="2" t="s">
        <v>40</v>
      </c>
      <c r="B79" s="2" t="s">
        <v>261</v>
      </c>
      <c r="C79" s="9"/>
    </row>
    <row r="80" spans="1:7" x14ac:dyDescent="0.2">
      <c r="A80" s="2" t="s">
        <v>41</v>
      </c>
      <c r="B80" s="2" t="s">
        <v>262</v>
      </c>
      <c r="C80" s="9"/>
    </row>
    <row r="81" spans="1:12" x14ac:dyDescent="0.2">
      <c r="A81" s="2" t="s">
        <v>42</v>
      </c>
      <c r="B81" s="2" t="s">
        <v>263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2" t="s">
        <v>70</v>
      </c>
      <c r="B83" s="162"/>
      <c r="C83" s="10">
        <f>SUM(C79:C82)</f>
        <v>2698764</v>
      </c>
    </row>
    <row r="84" spans="1:12" x14ac:dyDescent="0.2">
      <c r="A84" s="174" t="s">
        <v>315</v>
      </c>
      <c r="B84" s="174"/>
      <c r="C84" s="174"/>
    </row>
    <row r="87" spans="1:12" x14ac:dyDescent="0.2">
      <c r="A87" s="164" t="s">
        <v>98</v>
      </c>
      <c r="B87" s="164"/>
      <c r="C87" s="164"/>
      <c r="D87" s="164"/>
      <c r="E87" s="164"/>
    </row>
    <row r="88" spans="1:12" x14ac:dyDescent="0.2">
      <c r="A88" s="109"/>
      <c r="B88" s="109"/>
      <c r="C88" s="109"/>
      <c r="D88"/>
      <c r="E88"/>
    </row>
    <row r="89" spans="1:12" x14ac:dyDescent="0.2">
      <c r="C89" s="110" t="s">
        <v>108</v>
      </c>
      <c r="D89" s="111" t="s">
        <v>107</v>
      </c>
      <c r="E89" s="3" t="s">
        <v>70</v>
      </c>
      <c r="I89" s="32"/>
    </row>
    <row r="90" spans="1:12" x14ac:dyDescent="0.2">
      <c r="A90" s="165"/>
      <c r="B90" s="166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65" t="s">
        <v>355</v>
      </c>
      <c r="B91" s="166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82"/>
      <c r="H91" s="182"/>
      <c r="I91" s="182"/>
      <c r="K91" s="120">
        <f>31754342.46+418384.17</f>
        <v>32172726.630000003</v>
      </c>
      <c r="L91" s="122" t="s">
        <v>358</v>
      </c>
    </row>
    <row r="92" spans="1:12" x14ac:dyDescent="0.2">
      <c r="A92" s="165" t="s">
        <v>121</v>
      </c>
      <c r="B92" s="166"/>
      <c r="C92" s="9">
        <v>0</v>
      </c>
      <c r="D92" s="9" t="e">
        <f>'Anexo I - Jan'!#REF!</f>
        <v>#REF!</v>
      </c>
      <c r="E92" s="9" t="e">
        <f>C92-D92</f>
        <v>#REF!</v>
      </c>
      <c r="G92" s="182"/>
      <c r="H92" s="182"/>
      <c r="I92" s="182"/>
      <c r="K92" s="120">
        <v>31740546.280000001</v>
      </c>
      <c r="L92" s="122" t="s">
        <v>361</v>
      </c>
    </row>
    <row r="93" spans="1:12" x14ac:dyDescent="0.2">
      <c r="A93" s="160" t="s">
        <v>96</v>
      </c>
      <c r="B93" s="160"/>
      <c r="C93" s="160"/>
      <c r="D93" s="160"/>
      <c r="E93" s="27" t="e">
        <f>SUM(E90:E92)</f>
        <v>#REF!</v>
      </c>
      <c r="F93" s="112"/>
      <c r="G93" s="182"/>
      <c r="H93" s="182"/>
      <c r="I93" s="182"/>
      <c r="K93" s="89">
        <f>+K91-K92</f>
        <v>432180.35000000149</v>
      </c>
    </row>
    <row r="94" spans="1:12" x14ac:dyDescent="0.2">
      <c r="A94" s="160" t="s">
        <v>97</v>
      </c>
      <c r="B94" s="160"/>
      <c r="C94" s="160"/>
      <c r="D94" s="160"/>
      <c r="E94" s="27">
        <f>$C$17+$C$48+$C$58+$C$65</f>
        <v>11928.3</v>
      </c>
      <c r="F94" s="32"/>
      <c r="G94" s="125"/>
      <c r="I94" s="32"/>
      <c r="K94" s="120">
        <v>418384.17</v>
      </c>
      <c r="L94" s="122" t="s">
        <v>359</v>
      </c>
    </row>
    <row r="95" spans="1:12" ht="15" x14ac:dyDescent="0.35">
      <c r="D95"/>
      <c r="E95"/>
      <c r="F95" s="131"/>
      <c r="G95" s="130"/>
      <c r="H95" s="125"/>
      <c r="I95" s="32"/>
      <c r="K95" s="89">
        <f>+K93-K94</f>
        <v>13796.180000001506</v>
      </c>
      <c r="L95" s="122" t="s">
        <v>360</v>
      </c>
    </row>
    <row r="96" spans="1:12" x14ac:dyDescent="0.2">
      <c r="D96" s="85" t="s">
        <v>270</v>
      </c>
      <c r="E96" s="88">
        <f>117443641.14+37550835.59+5315655.35+25000000</f>
        <v>185310132.08000001</v>
      </c>
      <c r="F96" s="8"/>
      <c r="G96" s="127"/>
      <c r="H96" s="125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27"/>
      <c r="H97" s="122"/>
      <c r="I97" s="32"/>
      <c r="K97" s="89">
        <f>+K93-K94-K95</f>
        <v>0</v>
      </c>
    </row>
    <row r="98" spans="3:11" x14ac:dyDescent="0.2">
      <c r="D98"/>
      <c r="E98" s="8"/>
      <c r="G98" s="127"/>
      <c r="H98" s="125"/>
      <c r="I98" s="32"/>
      <c r="K98" s="89"/>
    </row>
    <row r="99" spans="3:11" ht="15" customHeight="1" x14ac:dyDescent="0.2">
      <c r="D99"/>
      <c r="E99" s="32">
        <f>+E96-E94</f>
        <v>185298203.78</v>
      </c>
      <c r="F99" s="132" t="s">
        <v>371</v>
      </c>
      <c r="G99" s="127"/>
      <c r="H99" s="125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2" t="s">
        <v>372</v>
      </c>
      <c r="G100" s="128"/>
      <c r="H100" s="126"/>
      <c r="I100" s="32"/>
    </row>
    <row r="101" spans="3:11" ht="15" customHeight="1" x14ac:dyDescent="0.2">
      <c r="D101"/>
      <c r="E101" s="32">
        <f>+E99-E100</f>
        <v>132282660.65000001</v>
      </c>
      <c r="F101" s="124" t="s">
        <v>373</v>
      </c>
      <c r="G101" s="129"/>
      <c r="I101" s="124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1" t="s">
        <v>245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356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376</v>
      </c>
      <c r="C7" s="158"/>
    </row>
    <row r="8" spans="1:3" x14ac:dyDescent="0.2">
      <c r="A8" s="2" t="s">
        <v>37</v>
      </c>
      <c r="B8" s="159">
        <v>43119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258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266</v>
      </c>
      <c r="C16" s="10">
        <f>'RP - Access'!E5</f>
        <v>1443.55</v>
      </c>
    </row>
    <row r="17" spans="1:3" x14ac:dyDescent="0.2">
      <c r="A17" s="162" t="s">
        <v>70</v>
      </c>
      <c r="B17" s="162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264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267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259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2" t="s">
        <v>70</v>
      </c>
      <c r="B48" s="162"/>
      <c r="C48" s="10">
        <f>SUM(C22:C47)</f>
        <v>28444872.090000004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2" t="s">
        <v>70</v>
      </c>
      <c r="B58" s="162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2" t="s">
        <v>70</v>
      </c>
      <c r="B65" s="162"/>
      <c r="C65" s="10">
        <f>SUM(C63:C64)</f>
        <v>0</v>
      </c>
    </row>
    <row r="66" spans="1:4" x14ac:dyDescent="0.2">
      <c r="A66" s="163" t="s">
        <v>316</v>
      </c>
      <c r="B66" s="163"/>
      <c r="C66" s="163"/>
    </row>
    <row r="68" spans="1:4" x14ac:dyDescent="0.2">
      <c r="A68" s="164" t="s">
        <v>98</v>
      </c>
      <c r="B68" s="164"/>
      <c r="C68" s="164"/>
    </row>
    <row r="70" spans="1:4" x14ac:dyDescent="0.2">
      <c r="A70" s="183" t="s">
        <v>357</v>
      </c>
      <c r="B70" s="184"/>
      <c r="C70" s="99">
        <f>47252159.01+47629.83+5715754.29</f>
        <v>53015543.129999995</v>
      </c>
    </row>
    <row r="71" spans="1:4" x14ac:dyDescent="0.2">
      <c r="A71" s="165" t="s">
        <v>97</v>
      </c>
      <c r="B71" s="166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E95" sqref="E95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85" t="s">
        <v>233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64" t="s">
        <v>109</v>
      </c>
      <c r="C27" s="164"/>
    </row>
    <row r="29" spans="1:20" x14ac:dyDescent="0.2">
      <c r="B29" s="26" t="s">
        <v>113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256</v>
      </c>
      <c r="C32" s="22">
        <v>990401726.04999995</v>
      </c>
    </row>
    <row r="34" spans="2:7" x14ac:dyDescent="0.2">
      <c r="B34" s="164" t="s">
        <v>110</v>
      </c>
      <c r="C34" s="164"/>
    </row>
    <row r="36" spans="2:7" x14ac:dyDescent="0.2">
      <c r="B36" s="26" t="s">
        <v>123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64" t="s">
        <v>111</v>
      </c>
      <c r="C41" s="164"/>
    </row>
    <row r="43" spans="2:7" x14ac:dyDescent="0.2">
      <c r="B43" s="26" t="s">
        <v>124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64" t="s">
        <v>112</v>
      </c>
      <c r="C47" s="164"/>
    </row>
    <row r="49" spans="2:3" x14ac:dyDescent="0.2">
      <c r="B49" s="26" t="s">
        <v>120</v>
      </c>
      <c r="C49" s="83">
        <v>145465595.25999999</v>
      </c>
    </row>
    <row r="50" spans="2:3" x14ac:dyDescent="0.2">
      <c r="B50" s="26" t="s">
        <v>119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E95" sqref="E95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11" width="12.710937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140</v>
      </c>
      <c r="B1" s="92" t="s">
        <v>125</v>
      </c>
      <c r="C1" s="92" t="s">
        <v>126</v>
      </c>
      <c r="D1" s="92" t="s">
        <v>127</v>
      </c>
      <c r="E1" s="92" t="s">
        <v>128</v>
      </c>
      <c r="F1" s="92" t="s">
        <v>129</v>
      </c>
      <c r="G1" s="92" t="s">
        <v>130</v>
      </c>
      <c r="H1" s="92" t="s">
        <v>131</v>
      </c>
      <c r="I1" s="92" t="s">
        <v>132</v>
      </c>
      <c r="J1" s="92" t="s">
        <v>133</v>
      </c>
      <c r="K1" s="92" t="s">
        <v>134</v>
      </c>
      <c r="L1" s="92" t="s">
        <v>135</v>
      </c>
      <c r="M1" s="92" t="s">
        <v>136</v>
      </c>
      <c r="N1" s="92" t="s">
        <v>137</v>
      </c>
      <c r="O1" s="92" t="s">
        <v>138</v>
      </c>
      <c r="P1" s="92" t="s">
        <v>139</v>
      </c>
      <c r="Q1" s="92" t="s">
        <v>95</v>
      </c>
    </row>
    <row r="2" spans="1:17" ht="15" x14ac:dyDescent="0.25">
      <c r="A2" s="93" t="s">
        <v>0</v>
      </c>
      <c r="B2" s="93" t="s">
        <v>272</v>
      </c>
      <c r="C2" s="93" t="s">
        <v>273</v>
      </c>
      <c r="D2" s="93" t="s">
        <v>317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77553359.540000007</v>
      </c>
      <c r="J2" s="94">
        <v>80324065.549999997</v>
      </c>
      <c r="K2" s="94">
        <v>76618896.780000001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408</v>
      </c>
    </row>
    <row r="3" spans="1:17" ht="15" x14ac:dyDescent="0.25">
      <c r="A3" s="93" t="s">
        <v>0</v>
      </c>
      <c r="B3" s="93" t="s">
        <v>274</v>
      </c>
      <c r="C3" s="93" t="s">
        <v>273</v>
      </c>
      <c r="D3" s="93" t="s">
        <v>342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15971759.99</v>
      </c>
      <c r="J3" s="94">
        <v>16333308.779999999</v>
      </c>
      <c r="K3" s="94">
        <v>16721189.619999999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408</v>
      </c>
    </row>
    <row r="4" spans="1:17" ht="30" x14ac:dyDescent="0.25">
      <c r="A4" s="93" t="s">
        <v>0</v>
      </c>
      <c r="B4" s="93" t="s">
        <v>275</v>
      </c>
      <c r="C4" s="93" t="s">
        <v>273</v>
      </c>
      <c r="D4" s="93" t="s">
        <v>343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14312210.220000001</v>
      </c>
      <c r="J4" s="94">
        <v>14534238.67</v>
      </c>
      <c r="K4" s="94">
        <v>14160722.99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408</v>
      </c>
    </row>
    <row r="5" spans="1:17" ht="45" x14ac:dyDescent="0.25">
      <c r="A5" s="93" t="s">
        <v>0</v>
      </c>
      <c r="B5" s="93" t="s">
        <v>276</v>
      </c>
      <c r="C5" s="93" t="s">
        <v>273</v>
      </c>
      <c r="D5" s="93" t="s">
        <v>318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409</v>
      </c>
    </row>
    <row r="6" spans="1:17" ht="30" x14ac:dyDescent="0.25">
      <c r="A6" s="93" t="s">
        <v>277</v>
      </c>
      <c r="B6" s="93" t="s">
        <v>278</v>
      </c>
      <c r="C6" s="93" t="s">
        <v>279</v>
      </c>
      <c r="D6" s="93" t="s">
        <v>328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150389.72</v>
      </c>
      <c r="J6" s="94">
        <v>156176.35999999999</v>
      </c>
      <c r="K6" s="94">
        <v>157537.01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408</v>
      </c>
    </row>
    <row r="7" spans="1:17" ht="30" x14ac:dyDescent="0.25">
      <c r="A7" s="93" t="s">
        <v>277</v>
      </c>
      <c r="B7" s="93" t="s">
        <v>280</v>
      </c>
      <c r="C7" s="93" t="s">
        <v>279</v>
      </c>
      <c r="D7" s="93" t="s">
        <v>327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3995881.17</v>
      </c>
      <c r="J7" s="94">
        <v>4011655.71</v>
      </c>
      <c r="K7" s="94">
        <v>4207410.07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408</v>
      </c>
    </row>
    <row r="8" spans="1:17" ht="15" x14ac:dyDescent="0.25">
      <c r="A8" s="93" t="s">
        <v>277</v>
      </c>
      <c r="B8" s="93" t="s">
        <v>281</v>
      </c>
      <c r="C8" s="93" t="s">
        <v>279</v>
      </c>
      <c r="D8" s="93" t="s">
        <v>330</v>
      </c>
      <c r="E8" s="94">
        <v>501183</v>
      </c>
      <c r="F8" s="94">
        <v>524250</v>
      </c>
      <c r="G8" s="94">
        <v>529143</v>
      </c>
      <c r="H8" s="94">
        <v>541026</v>
      </c>
      <c r="I8" s="94">
        <v>544521</v>
      </c>
      <c r="J8" s="94">
        <v>543974.34</v>
      </c>
      <c r="K8" s="94">
        <v>563394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408</v>
      </c>
    </row>
    <row r="9" spans="1:17" ht="30" x14ac:dyDescent="0.25">
      <c r="A9" s="93" t="s">
        <v>277</v>
      </c>
      <c r="B9" s="93" t="s">
        <v>282</v>
      </c>
      <c r="C9" s="93" t="s">
        <v>279</v>
      </c>
      <c r="D9" s="93" t="s">
        <v>335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2029531.57</v>
      </c>
      <c r="J9" s="94">
        <v>2022193.12</v>
      </c>
      <c r="K9" s="94">
        <v>1999605.58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408</v>
      </c>
    </row>
    <row r="10" spans="1:17" ht="15" x14ac:dyDescent="0.25">
      <c r="A10" s="93" t="s">
        <v>277</v>
      </c>
      <c r="B10" s="93" t="s">
        <v>283</v>
      </c>
      <c r="C10" s="93" t="s">
        <v>279</v>
      </c>
      <c r="D10" s="93" t="s">
        <v>329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116658.7</v>
      </c>
      <c r="J10" s="94">
        <v>77572.570000000007</v>
      </c>
      <c r="K10" s="94">
        <v>78154.39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408</v>
      </c>
    </row>
    <row r="11" spans="1:17" ht="15" x14ac:dyDescent="0.25">
      <c r="A11" s="93" t="s">
        <v>277</v>
      </c>
      <c r="B11" s="93" t="s">
        <v>284</v>
      </c>
      <c r="C11" s="93" t="s">
        <v>279</v>
      </c>
      <c r="D11" s="93" t="s">
        <v>326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25946.91</v>
      </c>
      <c r="J11" s="94">
        <v>54455.69</v>
      </c>
      <c r="K11" s="94">
        <v>116191.85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408</v>
      </c>
    </row>
    <row r="12" spans="1:17" ht="30" x14ac:dyDescent="0.25">
      <c r="A12" s="93" t="s">
        <v>277</v>
      </c>
      <c r="B12" s="93" t="s">
        <v>285</v>
      </c>
      <c r="C12" s="93" t="s">
        <v>279</v>
      </c>
      <c r="D12" s="93" t="s">
        <v>336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2163819.0299999998</v>
      </c>
      <c r="J12" s="94">
        <v>2154498.36</v>
      </c>
      <c r="K12" s="94">
        <v>2147396.7599999998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408</v>
      </c>
    </row>
    <row r="13" spans="1:17" ht="15" x14ac:dyDescent="0.25">
      <c r="A13" s="93" t="s">
        <v>277</v>
      </c>
      <c r="B13" s="93" t="s">
        <v>286</v>
      </c>
      <c r="C13" s="93" t="s">
        <v>279</v>
      </c>
      <c r="D13" s="93" t="s">
        <v>331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2874569.93</v>
      </c>
      <c r="J13" s="94">
        <v>2826741.96</v>
      </c>
      <c r="K13" s="94">
        <v>2491526.56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408</v>
      </c>
    </row>
    <row r="14" spans="1:17" ht="15" x14ac:dyDescent="0.25">
      <c r="A14" s="93" t="s">
        <v>277</v>
      </c>
      <c r="B14" s="93" t="s">
        <v>287</v>
      </c>
      <c r="C14" s="93" t="s">
        <v>279</v>
      </c>
      <c r="D14" s="93" t="s">
        <v>341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218682.55</v>
      </c>
      <c r="J14" s="94">
        <v>180505.69</v>
      </c>
      <c r="K14" s="94">
        <v>163443.19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408</v>
      </c>
    </row>
    <row r="15" spans="1:17" ht="15" x14ac:dyDescent="0.25">
      <c r="A15" s="93" t="s">
        <v>277</v>
      </c>
      <c r="B15" s="93" t="s">
        <v>288</v>
      </c>
      <c r="C15" s="93" t="s">
        <v>279</v>
      </c>
      <c r="D15" s="93" t="s">
        <v>340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721342.81</v>
      </c>
      <c r="J15" s="94">
        <v>595834.99</v>
      </c>
      <c r="K15" s="94">
        <v>565462.92000000004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408</v>
      </c>
    </row>
    <row r="16" spans="1:17" ht="15" x14ac:dyDescent="0.25">
      <c r="A16" s="93" t="s">
        <v>277</v>
      </c>
      <c r="B16" s="93" t="s">
        <v>289</v>
      </c>
      <c r="C16" s="93" t="s">
        <v>279</v>
      </c>
      <c r="D16" s="93" t="s">
        <v>349</v>
      </c>
      <c r="E16" s="94">
        <v>0</v>
      </c>
      <c r="F16" s="94">
        <v>555.97</v>
      </c>
      <c r="G16" s="94">
        <v>0</v>
      </c>
      <c r="H16" s="94">
        <v>102173.64</v>
      </c>
      <c r="I16" s="94">
        <v>53827.92</v>
      </c>
      <c r="J16" s="94">
        <v>47378.02</v>
      </c>
      <c r="K16" s="94">
        <v>51721.59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408</v>
      </c>
    </row>
    <row r="17" spans="1:17" ht="15" x14ac:dyDescent="0.25">
      <c r="A17" s="93" t="s">
        <v>277</v>
      </c>
      <c r="B17" s="93" t="s">
        <v>290</v>
      </c>
      <c r="C17" s="93" t="s">
        <v>279</v>
      </c>
      <c r="D17" s="93" t="s">
        <v>334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303609</v>
      </c>
      <c r="J17" s="94">
        <v>283587.82</v>
      </c>
      <c r="K17" s="94">
        <v>308208.88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408</v>
      </c>
    </row>
    <row r="18" spans="1:17" ht="75" x14ac:dyDescent="0.25">
      <c r="A18" s="93" t="s">
        <v>277</v>
      </c>
      <c r="B18" s="93" t="s">
        <v>291</v>
      </c>
      <c r="C18" s="93" t="s">
        <v>279</v>
      </c>
      <c r="D18" s="93" t="s">
        <v>353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520299.84</v>
      </c>
      <c r="J18" s="94">
        <v>376648.06</v>
      </c>
      <c r="K18" s="94">
        <v>705736.65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408</v>
      </c>
    </row>
    <row r="19" spans="1:17" ht="15" x14ac:dyDescent="0.25">
      <c r="A19" s="93" t="s">
        <v>277</v>
      </c>
      <c r="B19" s="93" t="s">
        <v>292</v>
      </c>
      <c r="C19" s="93" t="s">
        <v>279</v>
      </c>
      <c r="D19" s="93" t="s">
        <v>347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1683731.67</v>
      </c>
      <c r="J19" s="94">
        <v>461069.81</v>
      </c>
      <c r="K19" s="94">
        <v>997538.38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408</v>
      </c>
    </row>
    <row r="20" spans="1:17" ht="15" x14ac:dyDescent="0.25">
      <c r="A20" s="93" t="s">
        <v>277</v>
      </c>
      <c r="B20" s="93" t="s">
        <v>293</v>
      </c>
      <c r="C20" s="93" t="s">
        <v>279</v>
      </c>
      <c r="D20" s="93" t="s">
        <v>346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769110.08</v>
      </c>
      <c r="K20" s="94">
        <v>4011099.89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408</v>
      </c>
    </row>
    <row r="21" spans="1:17" ht="15" x14ac:dyDescent="0.25">
      <c r="A21" s="93" t="s">
        <v>277</v>
      </c>
      <c r="B21" s="93" t="s">
        <v>294</v>
      </c>
      <c r="C21" s="93" t="s">
        <v>279</v>
      </c>
      <c r="D21" s="93" t="s">
        <v>337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1387.68</v>
      </c>
      <c r="J21" s="94">
        <v>5513.44</v>
      </c>
      <c r="K21" s="94">
        <v>8142.24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408</v>
      </c>
    </row>
    <row r="22" spans="1:17" ht="30" x14ac:dyDescent="0.25">
      <c r="A22" s="93" t="s">
        <v>277</v>
      </c>
      <c r="B22" s="93" t="s">
        <v>295</v>
      </c>
      <c r="C22" s="93" t="s">
        <v>279</v>
      </c>
      <c r="D22" s="93" t="s">
        <v>333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1066966.74</v>
      </c>
      <c r="J22" s="94">
        <v>1901915.08</v>
      </c>
      <c r="K22" s="94">
        <v>1703387.58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408</v>
      </c>
    </row>
    <row r="23" spans="1:17" ht="15" x14ac:dyDescent="0.25">
      <c r="A23" s="93" t="s">
        <v>277</v>
      </c>
      <c r="B23" s="93" t="s">
        <v>296</v>
      </c>
      <c r="C23" s="93" t="s">
        <v>279</v>
      </c>
      <c r="D23" s="93" t="s">
        <v>344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9151.77</v>
      </c>
      <c r="J23" s="94">
        <v>50676.99</v>
      </c>
      <c r="K23" s="94">
        <v>251733.62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408</v>
      </c>
    </row>
    <row r="24" spans="1:17" ht="15" x14ac:dyDescent="0.25">
      <c r="A24" s="93" t="s">
        <v>277</v>
      </c>
      <c r="B24" s="93" t="s">
        <v>297</v>
      </c>
      <c r="C24" s="93" t="s">
        <v>279</v>
      </c>
      <c r="D24" s="93" t="s">
        <v>339</v>
      </c>
      <c r="E24" s="94">
        <v>0</v>
      </c>
      <c r="F24" s="94">
        <v>0</v>
      </c>
      <c r="G24" s="94">
        <v>0</v>
      </c>
      <c r="H24" s="94">
        <v>0</v>
      </c>
      <c r="I24" s="94">
        <v>693.51</v>
      </c>
      <c r="J24" s="94">
        <v>0</v>
      </c>
      <c r="K24" s="94">
        <v>513.49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408</v>
      </c>
    </row>
    <row r="25" spans="1:17" ht="30" x14ac:dyDescent="0.25">
      <c r="A25" s="93" t="s">
        <v>277</v>
      </c>
      <c r="B25" s="93" t="s">
        <v>298</v>
      </c>
      <c r="C25" s="93" t="s">
        <v>279</v>
      </c>
      <c r="D25" s="93" t="s">
        <v>319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262412</v>
      </c>
      <c r="K25" s="94">
        <v>137388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408</v>
      </c>
    </row>
    <row r="26" spans="1:17" ht="15" x14ac:dyDescent="0.25">
      <c r="A26" s="93" t="s">
        <v>277</v>
      </c>
      <c r="B26" s="93" t="s">
        <v>299</v>
      </c>
      <c r="C26" s="93" t="s">
        <v>279</v>
      </c>
      <c r="D26" s="93" t="s">
        <v>350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8500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408</v>
      </c>
    </row>
    <row r="27" spans="1:17" ht="15" x14ac:dyDescent="0.25">
      <c r="A27" s="93" t="s">
        <v>277</v>
      </c>
      <c r="B27" s="93" t="s">
        <v>300</v>
      </c>
      <c r="C27" s="93" t="s">
        <v>279</v>
      </c>
      <c r="D27" s="93" t="s">
        <v>348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9032.99</v>
      </c>
      <c r="J27" s="94">
        <v>14819.78</v>
      </c>
      <c r="K27" s="94">
        <v>15385.33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408</v>
      </c>
    </row>
    <row r="28" spans="1:17" ht="15" x14ac:dyDescent="0.25">
      <c r="A28" s="93" t="s">
        <v>277</v>
      </c>
      <c r="B28" s="93" t="s">
        <v>301</v>
      </c>
      <c r="C28" s="93" t="s">
        <v>279</v>
      </c>
      <c r="D28" s="93" t="s">
        <v>345</v>
      </c>
      <c r="E28" s="94">
        <v>0</v>
      </c>
      <c r="F28" s="94">
        <v>0</v>
      </c>
      <c r="G28" s="94">
        <v>74238.33</v>
      </c>
      <c r="H28" s="94">
        <v>9111.31</v>
      </c>
      <c r="I28" s="94">
        <v>59569.49</v>
      </c>
      <c r="J28" s="94">
        <v>36459.83</v>
      </c>
      <c r="K28" s="94">
        <v>50100.6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408</v>
      </c>
    </row>
    <row r="29" spans="1:17" ht="30" x14ac:dyDescent="0.25">
      <c r="A29" s="93" t="s">
        <v>277</v>
      </c>
      <c r="B29" s="93" t="s">
        <v>302</v>
      </c>
      <c r="C29" s="93" t="s">
        <v>279</v>
      </c>
      <c r="D29" s="93" t="s">
        <v>338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222878.82</v>
      </c>
      <c r="J29" s="94">
        <v>85543.94</v>
      </c>
      <c r="K29" s="94">
        <v>122973.29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408</v>
      </c>
    </row>
    <row r="30" spans="1:17" ht="30" x14ac:dyDescent="0.25">
      <c r="A30" s="93" t="s">
        <v>277</v>
      </c>
      <c r="B30" s="93" t="s">
        <v>303</v>
      </c>
      <c r="C30" s="93" t="s">
        <v>279</v>
      </c>
      <c r="D30" s="93" t="s">
        <v>320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409</v>
      </c>
    </row>
    <row r="31" spans="1:17" ht="15" x14ac:dyDescent="0.25">
      <c r="A31" s="93" t="s">
        <v>277</v>
      </c>
      <c r="B31" s="93" t="s">
        <v>304</v>
      </c>
      <c r="C31" s="93" t="s">
        <v>279</v>
      </c>
      <c r="D31" s="93" t="s">
        <v>332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4965656.12</v>
      </c>
      <c r="J31" s="94">
        <v>7543541.2699999996</v>
      </c>
      <c r="K31" s="94">
        <v>5654663.0899999999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408</v>
      </c>
    </row>
    <row r="32" spans="1:17" ht="15" x14ac:dyDescent="0.25">
      <c r="A32" s="93" t="s">
        <v>24</v>
      </c>
      <c r="B32" s="93" t="s">
        <v>305</v>
      </c>
      <c r="C32" s="93" t="s">
        <v>306</v>
      </c>
      <c r="D32" s="93" t="s">
        <v>351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409</v>
      </c>
    </row>
    <row r="33" spans="1:17" ht="15" x14ac:dyDescent="0.25">
      <c r="A33" s="93" t="s">
        <v>24</v>
      </c>
      <c r="B33" s="93" t="s">
        <v>307</v>
      </c>
      <c r="C33" s="93" t="s">
        <v>306</v>
      </c>
      <c r="D33" s="93" t="s">
        <v>321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409</v>
      </c>
    </row>
    <row r="34" spans="1:17" ht="30" x14ac:dyDescent="0.25">
      <c r="A34" s="93" t="s">
        <v>24</v>
      </c>
      <c r="B34" s="93" t="s">
        <v>308</v>
      </c>
      <c r="C34" s="93" t="s">
        <v>306</v>
      </c>
      <c r="D34" s="93" t="s">
        <v>322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409</v>
      </c>
    </row>
    <row r="35" spans="1:17" ht="30" x14ac:dyDescent="0.25">
      <c r="A35" s="93" t="s">
        <v>24</v>
      </c>
      <c r="B35" s="93" t="s">
        <v>309</v>
      </c>
      <c r="C35" s="93" t="s">
        <v>306</v>
      </c>
      <c r="D35" s="93" t="s">
        <v>323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409</v>
      </c>
    </row>
    <row r="36" spans="1:17" ht="15" x14ac:dyDescent="0.25">
      <c r="A36" s="93" t="s">
        <v>24</v>
      </c>
      <c r="B36" s="93" t="s">
        <v>310</v>
      </c>
      <c r="C36" s="93" t="s">
        <v>306</v>
      </c>
      <c r="D36" s="93" t="s">
        <v>352</v>
      </c>
      <c r="E36" s="94">
        <v>0</v>
      </c>
      <c r="F36" s="94">
        <v>0</v>
      </c>
      <c r="G36" s="94">
        <v>0</v>
      </c>
      <c r="H36" s="94">
        <v>34218.6</v>
      </c>
      <c r="I36" s="94">
        <v>20976.91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408</v>
      </c>
    </row>
    <row r="37" spans="1:17" ht="30" x14ac:dyDescent="0.25">
      <c r="A37" s="93" t="s">
        <v>29</v>
      </c>
      <c r="B37" s="93" t="s">
        <v>311</v>
      </c>
      <c r="C37" s="93" t="s">
        <v>312</v>
      </c>
      <c r="D37" s="93" t="s">
        <v>324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409</v>
      </c>
    </row>
    <row r="38" spans="1:17" ht="15" x14ac:dyDescent="0.25">
      <c r="A38" s="93" t="s">
        <v>29</v>
      </c>
      <c r="B38" s="93" t="s">
        <v>313</v>
      </c>
      <c r="C38" s="93" t="s">
        <v>312</v>
      </c>
      <c r="D38" s="93" t="s">
        <v>325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409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23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9"/>
  <sheetViews>
    <sheetView topLeftCell="D1" workbookViewId="0">
      <selection activeCell="E95" sqref="E95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11" width="12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125</v>
      </c>
      <c r="B1" t="s">
        <v>166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137</v>
      </c>
      <c r="O1" t="s">
        <v>138</v>
      </c>
      <c r="P1" t="s">
        <v>139</v>
      </c>
      <c r="Q1" t="s">
        <v>167</v>
      </c>
      <c r="R1" t="s">
        <v>95</v>
      </c>
    </row>
    <row r="2" spans="1:18" x14ac:dyDescent="0.2">
      <c r="A2" t="s">
        <v>168</v>
      </c>
      <c r="B2" t="s">
        <v>169</v>
      </c>
      <c r="C2" t="s">
        <v>170</v>
      </c>
      <c r="D2" t="s">
        <v>171</v>
      </c>
      <c r="E2">
        <v>152735767.30000001</v>
      </c>
      <c r="F2">
        <v>106388248.89</v>
      </c>
      <c r="G2">
        <v>110657093.23</v>
      </c>
      <c r="H2">
        <v>106911021.41</v>
      </c>
      <c r="I2">
        <v>107854940.88</v>
      </c>
      <c r="J2">
        <v>111130400.40000001</v>
      </c>
      <c r="K2">
        <v>107595063.54000001</v>
      </c>
      <c r="L2">
        <v>0</v>
      </c>
      <c r="M2">
        <v>0</v>
      </c>
      <c r="N2">
        <v>0</v>
      </c>
      <c r="O2">
        <v>0</v>
      </c>
      <c r="P2">
        <v>0</v>
      </c>
      <c r="Q2">
        <v>803272535.64999998</v>
      </c>
      <c r="R2" t="s">
        <v>410</v>
      </c>
    </row>
    <row r="3" spans="1:18" x14ac:dyDescent="0.2">
      <c r="A3" t="s">
        <v>172</v>
      </c>
      <c r="B3" t="s">
        <v>173</v>
      </c>
      <c r="C3" t="s">
        <v>170</v>
      </c>
      <c r="D3" t="s">
        <v>75</v>
      </c>
      <c r="E3">
        <v>9564285.1500000004</v>
      </c>
      <c r="F3">
        <v>29486773.390000001</v>
      </c>
      <c r="G3">
        <v>29570871.02</v>
      </c>
      <c r="H3">
        <v>25580674.23</v>
      </c>
      <c r="I3">
        <v>25780449.710000001</v>
      </c>
      <c r="J3">
        <v>26526672.859999999</v>
      </c>
      <c r="K3">
        <v>27302593.989999998</v>
      </c>
      <c r="L3">
        <v>0</v>
      </c>
      <c r="M3">
        <v>0</v>
      </c>
      <c r="N3">
        <v>0</v>
      </c>
      <c r="O3">
        <v>0</v>
      </c>
      <c r="P3">
        <v>0</v>
      </c>
      <c r="Q3">
        <v>173812320.34999999</v>
      </c>
      <c r="R3" t="s">
        <v>410</v>
      </c>
    </row>
    <row r="4" spans="1:18" x14ac:dyDescent="0.2">
      <c r="A4" t="s">
        <v>174</v>
      </c>
      <c r="B4" t="s">
        <v>384</v>
      </c>
      <c r="C4" t="s">
        <v>170</v>
      </c>
      <c r="D4" t="s">
        <v>175</v>
      </c>
      <c r="E4">
        <v>0</v>
      </c>
      <c r="F4">
        <v>0</v>
      </c>
      <c r="G4">
        <v>5481000</v>
      </c>
      <c r="H4">
        <v>0</v>
      </c>
      <c r="I4">
        <v>1144380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6625380</v>
      </c>
      <c r="R4" t="s">
        <v>410</v>
      </c>
    </row>
    <row r="5" spans="1:18" x14ac:dyDescent="0.2">
      <c r="A5" t="s">
        <v>176</v>
      </c>
      <c r="D5" t="s">
        <v>377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410</v>
      </c>
    </row>
    <row r="7" spans="1:18" x14ac:dyDescent="0.2">
      <c r="E7">
        <f>SUM(E2:E6)</f>
        <v>162300052.45000002</v>
      </c>
      <c r="F7">
        <f t="shared" ref="F7:P7" si="0">SUM(F2:F6)</f>
        <v>135875022.28</v>
      </c>
      <c r="G7">
        <f t="shared" si="0"/>
        <v>145708964.25</v>
      </c>
      <c r="H7">
        <f t="shared" si="0"/>
        <v>132491695.64</v>
      </c>
      <c r="I7">
        <f t="shared" si="0"/>
        <v>134779770.59</v>
      </c>
      <c r="J7">
        <f t="shared" si="0"/>
        <v>137657073.25999999</v>
      </c>
      <c r="K7">
        <f t="shared" si="0"/>
        <v>134897657.53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983710236</v>
      </c>
    </row>
    <row r="9" spans="1:18" x14ac:dyDescent="0.2">
      <c r="D9" s="148" t="s">
        <v>402</v>
      </c>
      <c r="E9">
        <f>E7</f>
        <v>162300052.45000002</v>
      </c>
      <c r="F9">
        <f>E7+F7</f>
        <v>298175074.73000002</v>
      </c>
      <c r="G9">
        <f>G7+F7+E7</f>
        <v>443884038.98000002</v>
      </c>
      <c r="H9">
        <f>H7+G7+F7+E7</f>
        <v>576375734.62</v>
      </c>
      <c r="I9">
        <f>I7+H7+G7+F7+E7</f>
        <v>711155505.21000004</v>
      </c>
      <c r="J9">
        <f>J7+I7+H7+G7+F7+E7</f>
        <v>848812578.47000003</v>
      </c>
      <c r="K9">
        <f>K7+J7+I7+H7+G7+F7+E7</f>
        <v>983710236</v>
      </c>
      <c r="L9">
        <f>L7+K7+J7+I7+H7+G7+F7+E7</f>
        <v>983710236</v>
      </c>
      <c r="M9">
        <f>M7+L7+K7+J7+I7+H7+G7+F7+E7</f>
        <v>983710236</v>
      </c>
      <c r="N9">
        <f>N7+M7+L7+K7+J7+I7+H7+G7+F7+E7</f>
        <v>983710236</v>
      </c>
      <c r="O9">
        <f>O7+N7+M7+L7+K7+J7+I7+H7+G7+F7+E7</f>
        <v>983710236</v>
      </c>
      <c r="P9">
        <f>Q7</f>
        <v>983710236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E95" sqref="E95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177</v>
      </c>
      <c r="B1" s="1" t="s">
        <v>178</v>
      </c>
      <c r="C1" s="1" t="s">
        <v>179</v>
      </c>
      <c r="D1" s="1" t="s">
        <v>77</v>
      </c>
      <c r="E1" s="1" t="s">
        <v>180</v>
      </c>
      <c r="F1" s="1" t="s">
        <v>78</v>
      </c>
      <c r="G1" s="1" t="s">
        <v>181</v>
      </c>
      <c r="H1" s="1" t="s">
        <v>79</v>
      </c>
      <c r="I1" s="1" t="s">
        <v>80</v>
      </c>
      <c r="J1" s="1" t="s">
        <v>182</v>
      </c>
      <c r="K1" s="1" t="s">
        <v>183</v>
      </c>
      <c r="L1" s="1" t="s">
        <v>184</v>
      </c>
      <c r="M1" s="1" t="s">
        <v>81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82</v>
      </c>
      <c r="S1" s="1" t="s">
        <v>189</v>
      </c>
      <c r="T1" s="1" t="s">
        <v>190</v>
      </c>
      <c r="U1" s="1" t="s">
        <v>191</v>
      </c>
      <c r="V1" s="1" t="s">
        <v>192</v>
      </c>
      <c r="W1" s="1" t="s">
        <v>83</v>
      </c>
      <c r="X1" s="1" t="s">
        <v>193</v>
      </c>
      <c r="Y1" s="1" t="s">
        <v>194</v>
      </c>
      <c r="Z1" s="1" t="s">
        <v>195</v>
      </c>
      <c r="AA1" s="1" t="s">
        <v>84</v>
      </c>
      <c r="AB1" s="1" t="s">
        <v>196</v>
      </c>
      <c r="AC1" s="1" t="s">
        <v>95</v>
      </c>
    </row>
    <row r="2" spans="1:29" x14ac:dyDescent="0.2">
      <c r="A2" t="s">
        <v>197</v>
      </c>
      <c r="B2" t="s">
        <v>198</v>
      </c>
      <c r="C2" t="s">
        <v>199</v>
      </c>
      <c r="D2" t="s">
        <v>200</v>
      </c>
      <c r="E2" t="s">
        <v>0</v>
      </c>
      <c r="F2" t="s">
        <v>201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122</v>
      </c>
    </row>
    <row r="3" spans="1:29" x14ac:dyDescent="0.2">
      <c r="A3" t="s">
        <v>197</v>
      </c>
      <c r="B3" t="s">
        <v>202</v>
      </c>
      <c r="C3" t="s">
        <v>199</v>
      </c>
      <c r="D3" t="s">
        <v>200</v>
      </c>
      <c r="E3" t="s">
        <v>24</v>
      </c>
      <c r="F3" t="s">
        <v>201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122</v>
      </c>
    </row>
    <row r="4" spans="1:29" x14ac:dyDescent="0.2">
      <c r="A4" t="s">
        <v>197</v>
      </c>
      <c r="B4" t="s">
        <v>202</v>
      </c>
      <c r="C4" t="s">
        <v>199</v>
      </c>
      <c r="D4" t="s">
        <v>200</v>
      </c>
      <c r="E4" t="s">
        <v>24</v>
      </c>
      <c r="F4" t="s">
        <v>203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122</v>
      </c>
    </row>
    <row r="5" spans="1:29" x14ac:dyDescent="0.2">
      <c r="A5" t="s">
        <v>197</v>
      </c>
      <c r="B5" t="s">
        <v>202</v>
      </c>
      <c r="C5" t="s">
        <v>199</v>
      </c>
      <c r="D5" t="s">
        <v>200</v>
      </c>
      <c r="E5" t="s">
        <v>29</v>
      </c>
      <c r="F5" t="s">
        <v>201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122</v>
      </c>
    </row>
    <row r="6" spans="1:29" x14ac:dyDescent="0.2">
      <c r="A6" t="s">
        <v>204</v>
      </c>
      <c r="B6" t="s">
        <v>205</v>
      </c>
      <c r="C6" t="s">
        <v>199</v>
      </c>
      <c r="D6" t="s">
        <v>200</v>
      </c>
      <c r="E6" t="s">
        <v>24</v>
      </c>
      <c r="F6" t="s">
        <v>201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122</v>
      </c>
    </row>
    <row r="7" spans="1:29" x14ac:dyDescent="0.2">
      <c r="A7" t="s">
        <v>206</v>
      </c>
      <c r="B7" t="s">
        <v>207</v>
      </c>
      <c r="C7" t="s">
        <v>208</v>
      </c>
      <c r="D7" t="s">
        <v>200</v>
      </c>
      <c r="E7" t="s">
        <v>24</v>
      </c>
      <c r="F7" t="s">
        <v>201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122</v>
      </c>
    </row>
    <row r="8" spans="1:29" x14ac:dyDescent="0.2">
      <c r="A8" t="s">
        <v>252</v>
      </c>
      <c r="B8" t="s">
        <v>253</v>
      </c>
      <c r="C8" t="s">
        <v>224</v>
      </c>
      <c r="D8" t="s">
        <v>200</v>
      </c>
      <c r="E8" t="s">
        <v>29</v>
      </c>
      <c r="F8" t="s">
        <v>201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122</v>
      </c>
    </row>
    <row r="9" spans="1:29" x14ac:dyDescent="0.2">
      <c r="A9" t="s">
        <v>252</v>
      </c>
      <c r="B9" t="s">
        <v>253</v>
      </c>
      <c r="C9" t="s">
        <v>224</v>
      </c>
      <c r="D9" t="s">
        <v>200</v>
      </c>
      <c r="E9" t="s">
        <v>24</v>
      </c>
      <c r="F9" t="s">
        <v>201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122</v>
      </c>
    </row>
    <row r="10" spans="1:29" x14ac:dyDescent="0.2">
      <c r="A10" t="s">
        <v>209</v>
      </c>
      <c r="B10" t="s">
        <v>210</v>
      </c>
      <c r="C10" t="s">
        <v>211</v>
      </c>
      <c r="D10" t="s">
        <v>200</v>
      </c>
      <c r="E10" t="s">
        <v>24</v>
      </c>
      <c r="F10" t="s">
        <v>201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122</v>
      </c>
    </row>
    <row r="11" spans="1:29" x14ac:dyDescent="0.2">
      <c r="A11" t="s">
        <v>212</v>
      </c>
      <c r="B11" t="s">
        <v>213</v>
      </c>
      <c r="C11" t="s">
        <v>214</v>
      </c>
      <c r="D11" t="s">
        <v>200</v>
      </c>
      <c r="E11" t="s">
        <v>24</v>
      </c>
      <c r="F11" t="s">
        <v>201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122</v>
      </c>
    </row>
    <row r="12" spans="1:29" x14ac:dyDescent="0.2">
      <c r="A12" t="s">
        <v>215</v>
      </c>
      <c r="B12" t="s">
        <v>216</v>
      </c>
      <c r="C12" t="s">
        <v>217</v>
      </c>
      <c r="D12" t="s">
        <v>200</v>
      </c>
      <c r="E12" t="s">
        <v>24</v>
      </c>
      <c r="F12" t="s">
        <v>201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122</v>
      </c>
    </row>
    <row r="13" spans="1:29" x14ac:dyDescent="0.2">
      <c r="A13" t="s">
        <v>218</v>
      </c>
      <c r="B13" t="s">
        <v>219</v>
      </c>
      <c r="C13" t="s">
        <v>220</v>
      </c>
      <c r="D13" t="s">
        <v>221</v>
      </c>
      <c r="E13" t="s">
        <v>29</v>
      </c>
      <c r="F13" t="s">
        <v>201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122</v>
      </c>
    </row>
    <row r="14" spans="1:29" x14ac:dyDescent="0.2">
      <c r="A14" t="s">
        <v>218</v>
      </c>
      <c r="B14" t="s">
        <v>219</v>
      </c>
      <c r="C14" t="s">
        <v>220</v>
      </c>
      <c r="D14" t="s">
        <v>221</v>
      </c>
      <c r="E14" t="s">
        <v>24</v>
      </c>
      <c r="F14" t="s">
        <v>201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122</v>
      </c>
    </row>
    <row r="15" spans="1:29" x14ac:dyDescent="0.2">
      <c r="A15" t="s">
        <v>222</v>
      </c>
      <c r="B15" t="s">
        <v>223</v>
      </c>
      <c r="C15" t="s">
        <v>224</v>
      </c>
      <c r="D15" t="s">
        <v>200</v>
      </c>
      <c r="E15" t="s">
        <v>29</v>
      </c>
      <c r="F15" t="s">
        <v>201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122</v>
      </c>
    </row>
    <row r="16" spans="1:29" x14ac:dyDescent="0.2">
      <c r="A16" t="s">
        <v>225</v>
      </c>
      <c r="B16" t="s">
        <v>226</v>
      </c>
      <c r="C16" t="s">
        <v>224</v>
      </c>
      <c r="D16" t="s">
        <v>200</v>
      </c>
      <c r="E16" t="s">
        <v>29</v>
      </c>
      <c r="F16" t="s">
        <v>201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122</v>
      </c>
    </row>
    <row r="17" spans="1:29" x14ac:dyDescent="0.2">
      <c r="A17" t="s">
        <v>227</v>
      </c>
      <c r="B17" t="s">
        <v>228</v>
      </c>
      <c r="C17" t="s">
        <v>224</v>
      </c>
      <c r="D17" t="s">
        <v>200</v>
      </c>
      <c r="E17" t="s">
        <v>0</v>
      </c>
      <c r="F17" t="s">
        <v>201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122</v>
      </c>
    </row>
    <row r="18" spans="1:29" x14ac:dyDescent="0.2">
      <c r="A18" t="s">
        <v>229</v>
      </c>
      <c r="B18" t="s">
        <v>230</v>
      </c>
      <c r="C18" t="s">
        <v>231</v>
      </c>
      <c r="D18" t="s">
        <v>221</v>
      </c>
      <c r="E18" t="s">
        <v>0</v>
      </c>
      <c r="F18" t="s">
        <v>201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122</v>
      </c>
    </row>
    <row r="19" spans="1:29" x14ac:dyDescent="0.2">
      <c r="A19" t="s">
        <v>229</v>
      </c>
      <c r="B19" t="s">
        <v>230</v>
      </c>
      <c r="C19" t="s">
        <v>231</v>
      </c>
      <c r="D19" t="s">
        <v>221</v>
      </c>
      <c r="E19" t="s">
        <v>0</v>
      </c>
      <c r="F19" t="s">
        <v>232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122</v>
      </c>
    </row>
    <row r="20" spans="1:29" x14ac:dyDescent="0.2">
      <c r="A20" t="s">
        <v>229</v>
      </c>
      <c r="B20" t="s">
        <v>230</v>
      </c>
      <c r="C20" t="s">
        <v>231</v>
      </c>
      <c r="D20" t="s">
        <v>221</v>
      </c>
      <c r="E20" t="s">
        <v>0</v>
      </c>
      <c r="F20" t="s">
        <v>254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E95" sqref="E95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140</v>
      </c>
      <c r="B1" t="s">
        <v>125</v>
      </c>
      <c r="C1" t="s">
        <v>126</v>
      </c>
      <c r="D1" t="s">
        <v>127</v>
      </c>
      <c r="E1" s="24" t="s">
        <v>255</v>
      </c>
      <c r="F1" t="s">
        <v>95</v>
      </c>
    </row>
    <row r="2" spans="1:6" x14ac:dyDescent="0.2">
      <c r="A2" t="s">
        <v>0</v>
      </c>
      <c r="B2" t="s">
        <v>272</v>
      </c>
      <c r="C2" t="s">
        <v>273</v>
      </c>
      <c r="D2" t="s">
        <v>317</v>
      </c>
      <c r="E2" s="24">
        <v>7387569.2599999998</v>
      </c>
      <c r="F2" t="s">
        <v>375</v>
      </c>
    </row>
    <row r="3" spans="1:6" x14ac:dyDescent="0.2">
      <c r="A3" t="s">
        <v>0</v>
      </c>
      <c r="B3" t="s">
        <v>274</v>
      </c>
      <c r="C3" t="s">
        <v>273</v>
      </c>
      <c r="D3" t="s">
        <v>342</v>
      </c>
      <c r="E3" s="24">
        <v>196451.53</v>
      </c>
      <c r="F3" t="s">
        <v>375</v>
      </c>
    </row>
    <row r="4" spans="1:6" x14ac:dyDescent="0.2">
      <c r="A4" t="s">
        <v>0</v>
      </c>
      <c r="B4" t="s">
        <v>275</v>
      </c>
      <c r="C4" t="s">
        <v>273</v>
      </c>
      <c r="D4" t="s">
        <v>343</v>
      </c>
      <c r="E4" s="24">
        <v>79725.75</v>
      </c>
      <c r="F4" t="s">
        <v>375</v>
      </c>
    </row>
    <row r="5" spans="1:6" x14ac:dyDescent="0.2">
      <c r="A5" t="s">
        <v>0</v>
      </c>
      <c r="B5" t="s">
        <v>276</v>
      </c>
      <c r="C5" t="s">
        <v>273</v>
      </c>
      <c r="D5" t="s">
        <v>318</v>
      </c>
      <c r="E5" s="24">
        <v>1443.55</v>
      </c>
      <c r="F5" t="s">
        <v>375</v>
      </c>
    </row>
    <row r="6" spans="1:6" x14ac:dyDescent="0.2">
      <c r="A6" t="s">
        <v>277</v>
      </c>
      <c r="B6" t="s">
        <v>278</v>
      </c>
      <c r="C6" t="s">
        <v>279</v>
      </c>
      <c r="D6" t="s">
        <v>328</v>
      </c>
      <c r="E6" s="24">
        <v>315001.98</v>
      </c>
      <c r="F6" t="s">
        <v>375</v>
      </c>
    </row>
    <row r="7" spans="1:6" x14ac:dyDescent="0.2">
      <c r="A7" t="s">
        <v>277</v>
      </c>
      <c r="B7" t="s">
        <v>280</v>
      </c>
      <c r="C7" t="s">
        <v>279</v>
      </c>
      <c r="D7" t="s">
        <v>327</v>
      </c>
      <c r="E7" s="24">
        <v>193489.43</v>
      </c>
      <c r="F7" t="s">
        <v>375</v>
      </c>
    </row>
    <row r="8" spans="1:6" x14ac:dyDescent="0.2">
      <c r="A8" t="s">
        <v>277</v>
      </c>
      <c r="B8" t="s">
        <v>281</v>
      </c>
      <c r="C8" t="s">
        <v>279</v>
      </c>
      <c r="D8" t="s">
        <v>330</v>
      </c>
      <c r="E8" s="24">
        <v>18154.3</v>
      </c>
      <c r="F8" t="s">
        <v>375</v>
      </c>
    </row>
    <row r="9" spans="1:6" x14ac:dyDescent="0.2">
      <c r="A9" t="s">
        <v>277</v>
      </c>
      <c r="B9" t="s">
        <v>282</v>
      </c>
      <c r="C9" t="s">
        <v>279</v>
      </c>
      <c r="D9" t="s">
        <v>335</v>
      </c>
      <c r="E9" s="24">
        <v>5418920.8200000003</v>
      </c>
      <c r="F9" t="s">
        <v>375</v>
      </c>
    </row>
    <row r="10" spans="1:6" x14ac:dyDescent="0.2">
      <c r="A10" t="s">
        <v>277</v>
      </c>
      <c r="B10" t="s">
        <v>283</v>
      </c>
      <c r="C10" t="s">
        <v>279</v>
      </c>
      <c r="D10" t="s">
        <v>329</v>
      </c>
      <c r="E10" s="24">
        <v>0</v>
      </c>
      <c r="F10" t="s">
        <v>375</v>
      </c>
    </row>
    <row r="11" spans="1:6" x14ac:dyDescent="0.2">
      <c r="A11" t="s">
        <v>277</v>
      </c>
      <c r="B11" t="s">
        <v>284</v>
      </c>
      <c r="C11" t="s">
        <v>279</v>
      </c>
      <c r="D11" t="s">
        <v>326</v>
      </c>
      <c r="E11" s="24">
        <v>25729.43</v>
      </c>
      <c r="F11" t="s">
        <v>375</v>
      </c>
    </row>
    <row r="12" spans="1:6" x14ac:dyDescent="0.2">
      <c r="A12" t="s">
        <v>277</v>
      </c>
      <c r="B12" t="s">
        <v>285</v>
      </c>
      <c r="C12" t="s">
        <v>279</v>
      </c>
      <c r="D12" t="s">
        <v>336</v>
      </c>
      <c r="E12" s="24">
        <v>753674.05</v>
      </c>
      <c r="F12" t="s">
        <v>375</v>
      </c>
    </row>
    <row r="13" spans="1:6" x14ac:dyDescent="0.2">
      <c r="A13" t="s">
        <v>277</v>
      </c>
      <c r="B13" t="s">
        <v>286</v>
      </c>
      <c r="C13" t="s">
        <v>279</v>
      </c>
      <c r="D13" t="s">
        <v>331</v>
      </c>
      <c r="E13" s="24">
        <v>1331739.3899999999</v>
      </c>
      <c r="F13" t="s">
        <v>375</v>
      </c>
    </row>
    <row r="14" spans="1:6" x14ac:dyDescent="0.2">
      <c r="A14" t="s">
        <v>277</v>
      </c>
      <c r="B14" t="s">
        <v>287</v>
      </c>
      <c r="C14" t="s">
        <v>279</v>
      </c>
      <c r="D14" t="s">
        <v>341</v>
      </c>
      <c r="E14" s="24">
        <v>232720.01</v>
      </c>
      <c r="F14" t="s">
        <v>375</v>
      </c>
    </row>
    <row r="15" spans="1:6" x14ac:dyDescent="0.2">
      <c r="A15" t="s">
        <v>277</v>
      </c>
      <c r="B15" t="s">
        <v>288</v>
      </c>
      <c r="C15" t="s">
        <v>279</v>
      </c>
      <c r="D15" t="s">
        <v>340</v>
      </c>
      <c r="E15" s="24">
        <v>1033234.51</v>
      </c>
      <c r="F15" t="s">
        <v>375</v>
      </c>
    </row>
    <row r="16" spans="1:6" x14ac:dyDescent="0.2">
      <c r="A16" t="s">
        <v>277</v>
      </c>
      <c r="B16" t="s">
        <v>289</v>
      </c>
      <c r="C16" t="s">
        <v>279</v>
      </c>
      <c r="D16" t="s">
        <v>349</v>
      </c>
      <c r="E16" s="24">
        <v>1040288.48</v>
      </c>
      <c r="F16" t="s">
        <v>375</v>
      </c>
    </row>
    <row r="17" spans="1:6" x14ac:dyDescent="0.2">
      <c r="A17" t="s">
        <v>277</v>
      </c>
      <c r="B17" t="s">
        <v>290</v>
      </c>
      <c r="C17" t="s">
        <v>279</v>
      </c>
      <c r="D17" t="s">
        <v>334</v>
      </c>
      <c r="E17" s="24">
        <v>1501255.39</v>
      </c>
      <c r="F17" t="s">
        <v>375</v>
      </c>
    </row>
    <row r="18" spans="1:6" x14ac:dyDescent="0.2">
      <c r="A18" t="s">
        <v>277</v>
      </c>
      <c r="B18" t="s">
        <v>291</v>
      </c>
      <c r="C18" t="s">
        <v>279</v>
      </c>
      <c r="D18" t="s">
        <v>353</v>
      </c>
      <c r="E18" s="24">
        <v>620487.66</v>
      </c>
      <c r="F18" t="s">
        <v>375</v>
      </c>
    </row>
    <row r="19" spans="1:6" x14ac:dyDescent="0.2">
      <c r="A19" t="s">
        <v>277</v>
      </c>
      <c r="B19" t="s">
        <v>292</v>
      </c>
      <c r="C19" t="s">
        <v>279</v>
      </c>
      <c r="D19" t="s">
        <v>347</v>
      </c>
      <c r="E19" s="24">
        <v>603948.26</v>
      </c>
      <c r="F19" t="s">
        <v>375</v>
      </c>
    </row>
    <row r="20" spans="1:6" x14ac:dyDescent="0.2">
      <c r="A20" t="s">
        <v>277</v>
      </c>
      <c r="B20" t="s">
        <v>293</v>
      </c>
      <c r="C20" t="s">
        <v>279</v>
      </c>
      <c r="D20" t="s">
        <v>346</v>
      </c>
      <c r="E20" s="24">
        <v>912380.47</v>
      </c>
      <c r="F20" t="s">
        <v>375</v>
      </c>
    </row>
    <row r="21" spans="1:6" x14ac:dyDescent="0.2">
      <c r="A21" t="s">
        <v>277</v>
      </c>
      <c r="B21" t="s">
        <v>294</v>
      </c>
      <c r="C21" t="s">
        <v>279</v>
      </c>
      <c r="D21" t="s">
        <v>337</v>
      </c>
      <c r="E21" s="24">
        <v>30952.799999999999</v>
      </c>
      <c r="F21" t="s">
        <v>375</v>
      </c>
    </row>
    <row r="22" spans="1:6" x14ac:dyDescent="0.2">
      <c r="A22" t="s">
        <v>277</v>
      </c>
      <c r="B22" t="s">
        <v>295</v>
      </c>
      <c r="C22" t="s">
        <v>279</v>
      </c>
      <c r="D22" t="s">
        <v>333</v>
      </c>
      <c r="E22" s="24">
        <v>278959.12</v>
      </c>
      <c r="F22" t="s">
        <v>375</v>
      </c>
    </row>
    <row r="23" spans="1:6" x14ac:dyDescent="0.2">
      <c r="A23" t="s">
        <v>277</v>
      </c>
      <c r="B23" t="s">
        <v>296</v>
      </c>
      <c r="C23" t="s">
        <v>279</v>
      </c>
      <c r="D23" t="s">
        <v>344</v>
      </c>
      <c r="E23" s="24">
        <v>108005.27</v>
      </c>
      <c r="F23" t="s">
        <v>375</v>
      </c>
    </row>
    <row r="24" spans="1:6" x14ac:dyDescent="0.2">
      <c r="A24" t="s">
        <v>277</v>
      </c>
      <c r="B24" t="s">
        <v>297</v>
      </c>
      <c r="C24" t="s">
        <v>279</v>
      </c>
      <c r="D24" t="s">
        <v>339</v>
      </c>
      <c r="E24" s="24">
        <v>672561.09</v>
      </c>
      <c r="F24" t="s">
        <v>375</v>
      </c>
    </row>
    <row r="25" spans="1:6" x14ac:dyDescent="0.2">
      <c r="A25" t="s">
        <v>277</v>
      </c>
      <c r="B25" t="s">
        <v>298</v>
      </c>
      <c r="C25" t="s">
        <v>279</v>
      </c>
      <c r="D25" t="s">
        <v>319</v>
      </c>
      <c r="E25" s="24">
        <v>215552.19</v>
      </c>
      <c r="F25" t="s">
        <v>375</v>
      </c>
    </row>
    <row r="26" spans="1:6" x14ac:dyDescent="0.2">
      <c r="A26" t="s">
        <v>277</v>
      </c>
      <c r="B26" t="s">
        <v>299</v>
      </c>
      <c r="C26" t="s">
        <v>279</v>
      </c>
      <c r="D26" t="s">
        <v>350</v>
      </c>
      <c r="E26" s="24">
        <v>0</v>
      </c>
      <c r="F26" t="s">
        <v>375</v>
      </c>
    </row>
    <row r="27" spans="1:6" x14ac:dyDescent="0.2">
      <c r="A27" t="s">
        <v>277</v>
      </c>
      <c r="B27" t="s">
        <v>300</v>
      </c>
      <c r="C27" t="s">
        <v>279</v>
      </c>
      <c r="D27" t="s">
        <v>348</v>
      </c>
      <c r="E27" s="24">
        <v>16479.419999999998</v>
      </c>
      <c r="F27" t="s">
        <v>375</v>
      </c>
    </row>
    <row r="28" spans="1:6" x14ac:dyDescent="0.2">
      <c r="A28" t="s">
        <v>277</v>
      </c>
      <c r="B28" t="s">
        <v>301</v>
      </c>
      <c r="C28" t="s">
        <v>279</v>
      </c>
      <c r="D28" t="s">
        <v>345</v>
      </c>
      <c r="E28" s="24">
        <v>247509.53</v>
      </c>
      <c r="F28" t="s">
        <v>375</v>
      </c>
    </row>
    <row r="29" spans="1:6" x14ac:dyDescent="0.2">
      <c r="A29" t="s">
        <v>277</v>
      </c>
      <c r="B29" t="s">
        <v>302</v>
      </c>
      <c r="C29" t="s">
        <v>279</v>
      </c>
      <c r="D29" t="s">
        <v>338</v>
      </c>
      <c r="E29" s="24">
        <v>2876515.18</v>
      </c>
      <c r="F29" t="s">
        <v>375</v>
      </c>
    </row>
    <row r="30" spans="1:6" x14ac:dyDescent="0.2">
      <c r="A30" t="s">
        <v>277</v>
      </c>
      <c r="B30" t="s">
        <v>303</v>
      </c>
      <c r="C30" t="s">
        <v>279</v>
      </c>
      <c r="D30" t="s">
        <v>320</v>
      </c>
      <c r="E30" s="24">
        <v>0</v>
      </c>
      <c r="F30" t="s">
        <v>375</v>
      </c>
    </row>
    <row r="31" spans="1:6" x14ac:dyDescent="0.2">
      <c r="A31" s="95" t="s">
        <v>277</v>
      </c>
      <c r="B31" s="95" t="s">
        <v>304</v>
      </c>
      <c r="C31" s="95" t="s">
        <v>279</v>
      </c>
      <c r="D31" s="95" t="s">
        <v>332</v>
      </c>
      <c r="E31" s="96">
        <v>9997313.3100000005</v>
      </c>
      <c r="F31" s="95" t="s">
        <v>375</v>
      </c>
    </row>
    <row r="32" spans="1:6" x14ac:dyDescent="0.2">
      <c r="A32" t="s">
        <v>24</v>
      </c>
      <c r="B32" t="s">
        <v>305</v>
      </c>
      <c r="C32" t="s">
        <v>306</v>
      </c>
      <c r="D32" t="s">
        <v>351</v>
      </c>
      <c r="E32" s="24">
        <v>5198901.1399999997</v>
      </c>
      <c r="F32" t="s">
        <v>375</v>
      </c>
    </row>
    <row r="33" spans="1:6" x14ac:dyDescent="0.2">
      <c r="A33" t="s">
        <v>24</v>
      </c>
      <c r="B33" t="s">
        <v>307</v>
      </c>
      <c r="C33" t="s">
        <v>306</v>
      </c>
      <c r="D33" t="s">
        <v>321</v>
      </c>
      <c r="E33" s="24">
        <v>869380</v>
      </c>
      <c r="F33" t="s">
        <v>375</v>
      </c>
    </row>
    <row r="34" spans="1:6" x14ac:dyDescent="0.2">
      <c r="A34" t="s">
        <v>24</v>
      </c>
      <c r="B34" t="s">
        <v>308</v>
      </c>
      <c r="C34" t="s">
        <v>306</v>
      </c>
      <c r="D34" t="s">
        <v>322</v>
      </c>
      <c r="E34" s="24">
        <v>2698764</v>
      </c>
      <c r="F34" t="s">
        <v>375</v>
      </c>
    </row>
    <row r="35" spans="1:6" x14ac:dyDescent="0.2">
      <c r="A35" t="s">
        <v>24</v>
      </c>
      <c r="B35" t="s">
        <v>309</v>
      </c>
      <c r="C35" t="s">
        <v>306</v>
      </c>
      <c r="D35" t="s">
        <v>323</v>
      </c>
      <c r="E35" s="24">
        <v>0</v>
      </c>
      <c r="F35" t="s">
        <v>375</v>
      </c>
    </row>
    <row r="36" spans="1:6" x14ac:dyDescent="0.2">
      <c r="A36" t="s">
        <v>24</v>
      </c>
      <c r="B36" t="s">
        <v>310</v>
      </c>
      <c r="C36" t="s">
        <v>306</v>
      </c>
      <c r="D36" t="s">
        <v>352</v>
      </c>
      <c r="E36" s="24">
        <v>8138435.8099999996</v>
      </c>
      <c r="F36" t="s">
        <v>375</v>
      </c>
    </row>
    <row r="37" spans="1:6" x14ac:dyDescent="0.2">
      <c r="A37" t="s">
        <v>29</v>
      </c>
      <c r="B37" t="s">
        <v>311</v>
      </c>
      <c r="C37" t="s">
        <v>312</v>
      </c>
      <c r="D37" t="s">
        <v>324</v>
      </c>
      <c r="E37" s="24">
        <v>0</v>
      </c>
      <c r="F37" t="s">
        <v>375</v>
      </c>
    </row>
    <row r="38" spans="1:6" x14ac:dyDescent="0.2">
      <c r="A38" t="s">
        <v>29</v>
      </c>
      <c r="B38" t="s">
        <v>313</v>
      </c>
      <c r="C38" t="s">
        <v>312</v>
      </c>
      <c r="D38" t="s">
        <v>325</v>
      </c>
      <c r="E38" s="24">
        <v>0</v>
      </c>
      <c r="F38" t="s">
        <v>375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E95" sqref="E95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141</v>
      </c>
    </row>
    <row r="2" spans="1:7" x14ac:dyDescent="0.2">
      <c r="A2" s="34" t="s">
        <v>142</v>
      </c>
    </row>
    <row r="3" spans="1:7" x14ac:dyDescent="0.2">
      <c r="A3" s="34" t="s">
        <v>143</v>
      </c>
    </row>
    <row r="4" spans="1:7" x14ac:dyDescent="0.2">
      <c r="A4" s="34" t="s">
        <v>144</v>
      </c>
    </row>
    <row r="5" spans="1:7" x14ac:dyDescent="0.2">
      <c r="A5" s="34" t="s">
        <v>145</v>
      </c>
    </row>
    <row r="8" spans="1:7" x14ac:dyDescent="0.2">
      <c r="A8" s="193" t="s">
        <v>146</v>
      </c>
      <c r="B8" s="193"/>
      <c r="C8" s="193"/>
      <c r="D8" s="193"/>
      <c r="E8" s="193"/>
      <c r="F8" s="193"/>
      <c r="G8" s="193"/>
    </row>
    <row r="9" spans="1:7" x14ac:dyDescent="0.2">
      <c r="A9" s="193" t="s">
        <v>147</v>
      </c>
      <c r="B9" s="193"/>
      <c r="C9" s="193"/>
      <c r="D9" s="193"/>
      <c r="E9" s="193"/>
      <c r="F9" s="193"/>
      <c r="G9" s="193"/>
    </row>
    <row r="10" spans="1:7" x14ac:dyDescent="0.2">
      <c r="A10" s="194" t="s">
        <v>148</v>
      </c>
      <c r="B10" s="193"/>
      <c r="C10" s="193"/>
      <c r="D10" s="193"/>
      <c r="E10" s="193"/>
      <c r="F10" s="193"/>
      <c r="G10" s="193"/>
    </row>
    <row r="13" spans="1:7" ht="13.5" thickBot="1" x14ac:dyDescent="0.25">
      <c r="A13" s="35" t="s">
        <v>149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95" t="s">
        <v>150</v>
      </c>
      <c r="C14" s="196"/>
      <c r="D14" s="197"/>
      <c r="E14" s="198" t="s">
        <v>151</v>
      </c>
      <c r="F14" s="199"/>
      <c r="G14" s="199"/>
    </row>
    <row r="15" spans="1:7" ht="14.25" thickTop="1" thickBot="1" x14ac:dyDescent="0.25">
      <c r="A15" s="37" t="s">
        <v>152</v>
      </c>
      <c r="B15" s="186" t="s">
        <v>153</v>
      </c>
      <c r="C15" s="187"/>
      <c r="D15" s="188" t="s">
        <v>70</v>
      </c>
      <c r="E15" s="190" t="s">
        <v>153</v>
      </c>
      <c r="F15" s="187"/>
      <c r="G15" s="191" t="s">
        <v>70</v>
      </c>
    </row>
    <row r="16" spans="1:7" ht="14.25" thickTop="1" thickBot="1" x14ac:dyDescent="0.25">
      <c r="A16" s="38"/>
      <c r="B16" s="39" t="s">
        <v>154</v>
      </c>
      <c r="C16" s="40" t="s">
        <v>155</v>
      </c>
      <c r="D16" s="189"/>
      <c r="E16" s="41" t="s">
        <v>154</v>
      </c>
      <c r="F16" s="39" t="s">
        <v>155</v>
      </c>
      <c r="G16" s="192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114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156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115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116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117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118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157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158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159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160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161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162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163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164</v>
      </c>
      <c r="F45" s="1" t="s">
        <v>165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58" zoomScale="130" zoomScaleNormal="95" zoomScaleSheetLayoutView="130" workbookViewId="0">
      <selection activeCell="A104" sqref="A104:E110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382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383</v>
      </c>
      <c r="C7" s="158"/>
    </row>
    <row r="8" spans="1:3" x14ac:dyDescent="0.2">
      <c r="A8" s="2" t="s">
        <v>37</v>
      </c>
      <c r="B8" s="159">
        <v>43179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258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266</v>
      </c>
      <c r="C16" s="10">
        <v>22180.42</v>
      </c>
    </row>
    <row r="17" spans="1:4" x14ac:dyDescent="0.2">
      <c r="A17" s="162" t="s">
        <v>70</v>
      </c>
      <c r="B17" s="162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265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267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259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2" t="s">
        <v>70</v>
      </c>
      <c r="B48" s="162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251</v>
      </c>
    </row>
    <row r="52" spans="1:4" x14ac:dyDescent="0.2">
      <c r="A52" s="3" t="s">
        <v>38</v>
      </c>
      <c r="B52" s="3" t="s">
        <v>39</v>
      </c>
      <c r="C52" s="11" t="s">
        <v>265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2" t="s">
        <v>70</v>
      </c>
      <c r="B58" s="162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264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2" t="s">
        <v>70</v>
      </c>
      <c r="B65" s="162"/>
      <c r="C65" s="10">
        <f>SUM(C63:C64)</f>
        <v>0</v>
      </c>
    </row>
    <row r="66" spans="1:6" x14ac:dyDescent="0.2">
      <c r="A66" s="163"/>
      <c r="B66" s="163"/>
      <c r="C66" s="163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264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29486773.390000001</v>
      </c>
      <c r="D71" s="32"/>
      <c r="E71" s="32"/>
      <c r="F71" s="32"/>
    </row>
    <row r="72" spans="1:6" x14ac:dyDescent="0.2">
      <c r="A72" s="2" t="s">
        <v>42</v>
      </c>
      <c r="B72" s="2" t="s">
        <v>175</v>
      </c>
      <c r="C72" s="9">
        <f>'Financeiro - Access'!F4</f>
        <v>0</v>
      </c>
    </row>
    <row r="73" spans="1:6" x14ac:dyDescent="0.2">
      <c r="A73" s="2" t="s">
        <v>43</v>
      </c>
      <c r="B73" s="2" t="s">
        <v>260</v>
      </c>
      <c r="C73" s="9">
        <f>'Financeiro - Access'!F5</f>
        <v>0</v>
      </c>
      <c r="D73" t="s">
        <v>99</v>
      </c>
    </row>
    <row r="74" spans="1:6" x14ac:dyDescent="0.2">
      <c r="A74" s="162" t="s">
        <v>70</v>
      </c>
      <c r="B74" s="162"/>
      <c r="C74" s="10">
        <f>SUM(C70:C73)</f>
        <v>135875022.28</v>
      </c>
      <c r="D74" s="32">
        <v>162300052.44999999</v>
      </c>
      <c r="E74" s="112">
        <f>+C74+D74</f>
        <v>298175074.73000002</v>
      </c>
    </row>
    <row r="76" spans="1:6" x14ac:dyDescent="0.2">
      <c r="A76" s="4" t="s">
        <v>244</v>
      </c>
    </row>
    <row r="78" spans="1:6" x14ac:dyDescent="0.2">
      <c r="A78" s="3" t="s">
        <v>38</v>
      </c>
      <c r="B78" s="3" t="s">
        <v>39</v>
      </c>
      <c r="C78" s="11" t="s">
        <v>264</v>
      </c>
    </row>
    <row r="79" spans="1:6" x14ac:dyDescent="0.2">
      <c r="A79" s="2" t="s">
        <v>40</v>
      </c>
      <c r="B79" s="2" t="s">
        <v>261</v>
      </c>
      <c r="C79" s="9"/>
    </row>
    <row r="80" spans="1:6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2" t="s">
        <v>70</v>
      </c>
      <c r="B83" s="162"/>
      <c r="C83" s="10">
        <f>SUM(C79:C82)</f>
        <v>0</v>
      </c>
    </row>
    <row r="84" spans="1:7" x14ac:dyDescent="0.2">
      <c r="A84" s="174" t="s">
        <v>315</v>
      </c>
      <c r="B84" s="174"/>
      <c r="C84" s="174"/>
    </row>
    <row r="85" spans="1:7" x14ac:dyDescent="0.2">
      <c r="A85" s="172" t="s">
        <v>406</v>
      </c>
      <c r="B85" s="173"/>
      <c r="C85" s="173"/>
    </row>
    <row r="86" spans="1:7" x14ac:dyDescent="0.2">
      <c r="A86" s="172"/>
      <c r="B86" s="173"/>
      <c r="C86" s="173"/>
    </row>
    <row r="87" spans="1:7" x14ac:dyDescent="0.2">
      <c r="A87" s="164" t="s">
        <v>98</v>
      </c>
      <c r="B87" s="164"/>
      <c r="C87" s="164"/>
      <c r="D87" s="164"/>
      <c r="E87" s="164"/>
    </row>
    <row r="88" spans="1:7" x14ac:dyDescent="0.2">
      <c r="A88" s="25"/>
      <c r="B88" s="25"/>
      <c r="C88" s="25"/>
    </row>
    <row r="89" spans="1:7" x14ac:dyDescent="0.2">
      <c r="A89" s="164" t="s">
        <v>98</v>
      </c>
      <c r="B89" s="164"/>
      <c r="C89" s="164"/>
      <c r="D89" s="164"/>
      <c r="E89" s="164"/>
      <c r="F89" s="32"/>
    </row>
    <row r="90" spans="1:7" x14ac:dyDescent="0.2">
      <c r="A90" s="145"/>
      <c r="B90" s="145"/>
      <c r="C90" s="145"/>
      <c r="D90" s="120"/>
      <c r="E90" s="120"/>
      <c r="F90" s="32"/>
    </row>
    <row r="91" spans="1:7" x14ac:dyDescent="0.2">
      <c r="C91" s="11" t="s">
        <v>100</v>
      </c>
      <c r="D91" s="141"/>
      <c r="E91" s="141" t="s">
        <v>70</v>
      </c>
      <c r="F91" s="32"/>
    </row>
    <row r="92" spans="1:7" x14ac:dyDescent="0.2">
      <c r="A92" s="165" t="s">
        <v>355</v>
      </c>
      <c r="B92" s="166"/>
      <c r="C92" s="9">
        <f>105473766.64+19845091.86</f>
        <v>125318858.5</v>
      </c>
      <c r="D92" s="135"/>
      <c r="E92" s="135">
        <f>+C92-D92</f>
        <v>125318858.5</v>
      </c>
      <c r="F92" s="32"/>
    </row>
    <row r="93" spans="1:7" x14ac:dyDescent="0.2">
      <c r="A93" s="165"/>
      <c r="B93" s="166"/>
      <c r="C93" s="9"/>
      <c r="D93" s="135"/>
      <c r="E93" s="135">
        <v>0</v>
      </c>
      <c r="F93" s="32"/>
    </row>
    <row r="94" spans="1:7" x14ac:dyDescent="0.2">
      <c r="A94" s="165"/>
      <c r="B94" s="166"/>
      <c r="C94" s="9"/>
      <c r="D94" s="135"/>
      <c r="E94" s="135">
        <v>0</v>
      </c>
      <c r="F94" s="32"/>
    </row>
    <row r="95" spans="1:7" x14ac:dyDescent="0.2">
      <c r="A95" s="160" t="s">
        <v>96</v>
      </c>
      <c r="B95" s="160"/>
      <c r="C95" s="160"/>
      <c r="D95" s="160"/>
      <c r="E95" s="142">
        <f>SUM(E92:E94)</f>
        <v>125318858.5</v>
      </c>
      <c r="F95" s="32"/>
    </row>
    <row r="96" spans="1:7" x14ac:dyDescent="0.2">
      <c r="A96" s="160" t="s">
        <v>97</v>
      </c>
      <c r="B96" s="160"/>
      <c r="C96" s="160"/>
      <c r="D96" s="160"/>
      <c r="E96" s="142">
        <f>C17+C48+C58+C65</f>
        <v>125341038.91999999</v>
      </c>
      <c r="F96" s="32">
        <f>E96-E95</f>
        <v>22180.419999986887</v>
      </c>
      <c r="G96" t="s">
        <v>381</v>
      </c>
    </row>
    <row r="97" spans="1:7" x14ac:dyDescent="0.2">
      <c r="D97" s="120"/>
      <c r="E97" s="120"/>
      <c r="F97" s="32"/>
    </row>
    <row r="98" spans="1:7" x14ac:dyDescent="0.2">
      <c r="D98" s="120"/>
      <c r="E98" s="120"/>
      <c r="F98" s="32"/>
      <c r="G98" s="87"/>
    </row>
    <row r="99" spans="1:7" x14ac:dyDescent="0.2">
      <c r="D99" s="118" t="s">
        <v>270</v>
      </c>
      <c r="E99" s="143">
        <f>105473766.64+19845091.86</f>
        <v>125318858.5</v>
      </c>
      <c r="F99" s="32"/>
    </row>
    <row r="100" spans="1:7" x14ac:dyDescent="0.2">
      <c r="D100" s="120"/>
      <c r="E100" s="118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64" t="s">
        <v>379</v>
      </c>
      <c r="B102" s="164"/>
      <c r="C102" s="164"/>
      <c r="D102" s="164"/>
      <c r="E102" s="164"/>
    </row>
    <row r="103" spans="1:7" x14ac:dyDescent="0.2">
      <c r="D103" s="89"/>
      <c r="E103" s="89"/>
    </row>
    <row r="104" spans="1:7" x14ac:dyDescent="0.2">
      <c r="A104" s="169" t="s">
        <v>403</v>
      </c>
      <c r="B104" s="166"/>
      <c r="C104" s="9">
        <f>'Financeiro - Access'!F9</f>
        <v>298175074.73000002</v>
      </c>
      <c r="D104" s="120"/>
      <c r="E104" s="120"/>
    </row>
    <row r="105" spans="1:7" x14ac:dyDescent="0.2">
      <c r="A105" s="170" t="s">
        <v>404</v>
      </c>
      <c r="B105" s="166"/>
      <c r="C105" s="9">
        <f>+C74</f>
        <v>135875022.28</v>
      </c>
      <c r="D105" s="120"/>
      <c r="E105" s="120"/>
    </row>
    <row r="106" spans="1:7" x14ac:dyDescent="0.2">
      <c r="A106" s="165"/>
      <c r="B106" s="166"/>
      <c r="C106" s="9">
        <f>+C104-C105</f>
        <v>162300052.45000002</v>
      </c>
      <c r="D106" s="151"/>
      <c r="E106" s="120"/>
    </row>
    <row r="107" spans="1:7" x14ac:dyDescent="0.2">
      <c r="A107" s="170" t="s">
        <v>405</v>
      </c>
      <c r="B107" s="171"/>
      <c r="C107" s="9">
        <f>'Anexo I - Jan'!C105</f>
        <v>162300052.45000002</v>
      </c>
    </row>
    <row r="108" spans="1:7" x14ac:dyDescent="0.2">
      <c r="A108" s="167" t="s">
        <v>392</v>
      </c>
      <c r="B108" s="168"/>
      <c r="C108" s="9">
        <f>C106-C107</f>
        <v>0</v>
      </c>
    </row>
  </sheetData>
  <mergeCells count="30">
    <mergeCell ref="A107:B107"/>
    <mergeCell ref="A108:B108"/>
    <mergeCell ref="A86:C86"/>
    <mergeCell ref="A85:C85"/>
    <mergeCell ref="A83:B83"/>
    <mergeCell ref="A84:C84"/>
    <mergeCell ref="A87:E87"/>
    <mergeCell ref="A92:B92"/>
    <mergeCell ref="A89:E89"/>
    <mergeCell ref="A93:B93"/>
    <mergeCell ref="A94:B94"/>
    <mergeCell ref="A106:B106"/>
    <mergeCell ref="A95:D95"/>
    <mergeCell ref="A96:D96"/>
    <mergeCell ref="A102:E102"/>
    <mergeCell ref="A104:B104"/>
    <mergeCell ref="A105:B105"/>
    <mergeCell ref="B7:C7"/>
    <mergeCell ref="B8:C8"/>
    <mergeCell ref="A17:B17"/>
    <mergeCell ref="A1:C1"/>
    <mergeCell ref="B3:C3"/>
    <mergeCell ref="B4:C4"/>
    <mergeCell ref="B5:C5"/>
    <mergeCell ref="B6:C6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S37" sqref="S3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A34" sqref="A34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234</v>
      </c>
      <c r="B1" s="72"/>
      <c r="C1" s="73" t="s">
        <v>235</v>
      </c>
      <c r="D1" s="74"/>
      <c r="E1" s="75" t="s">
        <v>236</v>
      </c>
      <c r="F1" s="76"/>
      <c r="G1" s="73" t="s">
        <v>237</v>
      </c>
      <c r="H1" s="74"/>
    </row>
    <row r="2" spans="1:8" ht="14.25" thickTop="1" thickBot="1" x14ac:dyDescent="0.25">
      <c r="A2" s="77" t="s">
        <v>238</v>
      </c>
      <c r="B2" s="77" t="s">
        <v>239</v>
      </c>
      <c r="C2" s="78" t="s">
        <v>240</v>
      </c>
      <c r="D2" s="78" t="s">
        <v>239</v>
      </c>
      <c r="E2" s="79" t="s">
        <v>241</v>
      </c>
      <c r="F2" s="79" t="s">
        <v>239</v>
      </c>
      <c r="G2" s="78" t="s">
        <v>242</v>
      </c>
      <c r="H2" s="78" t="s">
        <v>239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243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108"/>
  <sheetViews>
    <sheetView showGridLines="0" view="pageBreakPreview" topLeftCell="A79" zoomScale="130" zoomScaleNormal="100" zoomScaleSheetLayoutView="130" workbookViewId="0">
      <selection activeCell="A104" sqref="A104:E110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382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385</v>
      </c>
      <c r="C7" s="158"/>
    </row>
    <row r="8" spans="1:3" x14ac:dyDescent="0.2">
      <c r="A8" s="2" t="s">
        <v>37</v>
      </c>
      <c r="B8" s="159">
        <v>43210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258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266</v>
      </c>
      <c r="C16" s="10">
        <f>8282.86+1040960.04</f>
        <v>1049242.9000000001</v>
      </c>
    </row>
    <row r="17" spans="1:5" x14ac:dyDescent="0.2">
      <c r="A17" s="162" t="s">
        <v>70</v>
      </c>
      <c r="B17" s="162"/>
      <c r="C17" s="10">
        <f>SUM(C13:C16)</f>
        <v>108768940.52000001</v>
      </c>
      <c r="D17" s="32">
        <v>107719697.62</v>
      </c>
      <c r="E17" s="32">
        <f>C17-D17</f>
        <v>1049242.900000006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5" x14ac:dyDescent="0.2">
      <c r="A23" s="2" t="s">
        <v>41</v>
      </c>
      <c r="B23" s="2" t="s">
        <v>4</v>
      </c>
      <c r="C23" s="9">
        <f>'Despesa - Access'!G7</f>
        <v>4015208.74</v>
      </c>
    </row>
    <row r="24" spans="1:5" x14ac:dyDescent="0.2">
      <c r="A24" s="2" t="s">
        <v>42</v>
      </c>
      <c r="B24" s="2" t="s">
        <v>5</v>
      </c>
      <c r="C24" s="9">
        <f>'Despesa - Access'!G8</f>
        <v>529143</v>
      </c>
    </row>
    <row r="25" spans="1:5" x14ac:dyDescent="0.2">
      <c r="A25" s="2" t="s">
        <v>43</v>
      </c>
      <c r="B25" s="2" t="s">
        <v>6</v>
      </c>
      <c r="C25" s="9">
        <f>'Despesa - Access'!G9</f>
        <v>2041742.58</v>
      </c>
    </row>
    <row r="26" spans="1:5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5" x14ac:dyDescent="0.2">
      <c r="A27" s="2" t="s">
        <v>45</v>
      </c>
      <c r="B27" s="2" t="s">
        <v>67</v>
      </c>
      <c r="C27" s="9">
        <f>'Despesa - Access'!G11</f>
        <v>18077.57</v>
      </c>
    </row>
    <row r="28" spans="1:5" x14ac:dyDescent="0.2">
      <c r="A28" s="2" t="s">
        <v>46</v>
      </c>
      <c r="B28" s="2" t="s">
        <v>8</v>
      </c>
      <c r="C28" s="9">
        <f>'Despesa - Access'!G12</f>
        <v>2095052.13</v>
      </c>
    </row>
    <row r="29" spans="1:5" x14ac:dyDescent="0.2">
      <c r="A29" s="2" t="s">
        <v>47</v>
      </c>
      <c r="B29" s="2" t="s">
        <v>9</v>
      </c>
      <c r="C29" s="9">
        <f>'Despesa - Access'!G13</f>
        <v>2820273.12</v>
      </c>
    </row>
    <row r="30" spans="1:5" x14ac:dyDescent="0.2">
      <c r="A30" s="2" t="s">
        <v>48</v>
      </c>
      <c r="B30" s="2" t="s">
        <v>10</v>
      </c>
      <c r="C30" s="9">
        <f>'Despesa - Access'!G14</f>
        <v>178826.81</v>
      </c>
    </row>
    <row r="31" spans="1:5" x14ac:dyDescent="0.2">
      <c r="A31" s="2" t="s">
        <v>49</v>
      </c>
      <c r="B31" s="2" t="s">
        <v>11</v>
      </c>
      <c r="C31" s="9">
        <f>'Despesa - Access'!G15</f>
        <v>584044.34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294632.69</v>
      </c>
    </row>
    <row r="34" spans="1:5" ht="63.75" x14ac:dyDescent="0.2">
      <c r="A34" s="6" t="s">
        <v>52</v>
      </c>
      <c r="B34" s="7" t="s">
        <v>267</v>
      </c>
      <c r="C34" s="9">
        <f>'Despesa - Access'!G18</f>
        <v>600578.42000000004</v>
      </c>
    </row>
    <row r="35" spans="1:5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5" x14ac:dyDescent="0.2">
      <c r="A36" s="2" t="s">
        <v>54</v>
      </c>
      <c r="B36" s="2" t="s">
        <v>259</v>
      </c>
      <c r="C36" s="9">
        <f>'Despesa - Access'!G20</f>
        <v>2601410.7000000002</v>
      </c>
    </row>
    <row r="37" spans="1:5" x14ac:dyDescent="0.2">
      <c r="A37" s="2" t="s">
        <v>55</v>
      </c>
      <c r="B37" s="2" t="s">
        <v>15</v>
      </c>
      <c r="C37" s="9">
        <f>'Despesa - Access'!G21</f>
        <v>5286.4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5" x14ac:dyDescent="0.2">
      <c r="A39" s="2" t="s">
        <v>57</v>
      </c>
      <c r="B39" s="2" t="s">
        <v>16</v>
      </c>
      <c r="C39" s="9">
        <f>'Despesa - Access'!G23</f>
        <v>12997.92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10696.55</v>
      </c>
    </row>
    <row r="44" spans="1:5" x14ac:dyDescent="0.2">
      <c r="A44" s="2" t="s">
        <v>62</v>
      </c>
      <c r="B44" s="2" t="s">
        <v>21</v>
      </c>
      <c r="C44" s="9">
        <f>'Despesa - Access'!G28</f>
        <v>74238.33</v>
      </c>
    </row>
    <row r="45" spans="1:5" x14ac:dyDescent="0.2">
      <c r="A45" s="2" t="s">
        <v>63</v>
      </c>
      <c r="B45" s="2" t="s">
        <v>69</v>
      </c>
      <c r="C45" s="9">
        <f>'Despesa - Access'!G29</f>
        <v>70554.42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5" x14ac:dyDescent="0.2">
      <c r="A48" s="162" t="s">
        <v>70</v>
      </c>
      <c r="B48" s="162"/>
      <c r="C48" s="10">
        <f>SUM(C22:C47)</f>
        <v>25355839.070000004</v>
      </c>
      <c r="D48" s="32">
        <v>25355839.07</v>
      </c>
      <c r="E48" s="32">
        <f>C48-D48</f>
        <v>0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2" t="s">
        <v>70</v>
      </c>
      <c r="B58" s="162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257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175</v>
      </c>
      <c r="C72" s="9">
        <f>'Financeiro - Access'!G4</f>
        <v>5481000</v>
      </c>
    </row>
    <row r="73" spans="1:3" x14ac:dyDescent="0.2">
      <c r="A73" s="2" t="s">
        <v>43</v>
      </c>
      <c r="B73" s="2" t="s">
        <v>260</v>
      </c>
      <c r="C73" s="9">
        <f>'Financeiro - Access'!G5</f>
        <v>0</v>
      </c>
    </row>
    <row r="74" spans="1:3" x14ac:dyDescent="0.2">
      <c r="A74" s="162" t="s">
        <v>70</v>
      </c>
      <c r="B74" s="162"/>
      <c r="C74" s="10">
        <f>SUM(C70:C73)</f>
        <v>145708964.25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6" x14ac:dyDescent="0.2">
      <c r="A81" s="2" t="s">
        <v>42</v>
      </c>
      <c r="B81" s="2" t="s">
        <v>263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2" t="s">
        <v>70</v>
      </c>
      <c r="B83" s="162"/>
      <c r="C83" s="10">
        <f>SUM(C79:C82)</f>
        <v>0</v>
      </c>
    </row>
    <row r="84" spans="1:6" x14ac:dyDescent="0.2">
      <c r="A84" s="174" t="s">
        <v>315</v>
      </c>
      <c r="B84" s="174"/>
      <c r="C84" s="174"/>
    </row>
    <row r="85" spans="1:6" x14ac:dyDescent="0.2">
      <c r="A85" s="175"/>
      <c r="B85" s="175"/>
      <c r="C85" s="175"/>
    </row>
    <row r="86" spans="1:6" x14ac:dyDescent="0.2">
      <c r="A86" s="172"/>
      <c r="B86" s="173"/>
      <c r="C86" s="173"/>
    </row>
    <row r="87" spans="1:6" x14ac:dyDescent="0.2">
      <c r="A87" s="164" t="s">
        <v>98</v>
      </c>
      <c r="B87" s="164"/>
      <c r="C87" s="164"/>
      <c r="D87" s="164"/>
      <c r="E87" s="164"/>
    </row>
    <row r="88" spans="1:6" x14ac:dyDescent="0.2">
      <c r="A88" s="102"/>
      <c r="B88" s="102"/>
      <c r="C88" s="102"/>
      <c r="D88"/>
      <c r="E88"/>
    </row>
    <row r="89" spans="1:6" x14ac:dyDescent="0.2">
      <c r="C89" s="11" t="s">
        <v>386</v>
      </c>
      <c r="D89" s="141" t="s">
        <v>387</v>
      </c>
      <c r="E89" s="141" t="s">
        <v>70</v>
      </c>
    </row>
    <row r="90" spans="1:6" x14ac:dyDescent="0.2">
      <c r="A90" s="165" t="s">
        <v>355</v>
      </c>
      <c r="B90" s="166"/>
      <c r="C90" s="9">
        <v>415673868.85000002</v>
      </c>
      <c r="D90" s="135">
        <v>282598332.16000003</v>
      </c>
      <c r="E90" s="135">
        <f>+C90-D90</f>
        <v>133075536.69</v>
      </c>
    </row>
    <row r="91" spans="1:6" x14ac:dyDescent="0.2">
      <c r="A91" s="165"/>
      <c r="B91" s="166"/>
      <c r="C91" s="9"/>
      <c r="D91" s="135"/>
      <c r="E91" s="135">
        <v>0</v>
      </c>
    </row>
    <row r="92" spans="1:6" x14ac:dyDescent="0.2">
      <c r="A92" s="165"/>
      <c r="B92" s="166"/>
      <c r="C92" s="9"/>
      <c r="D92" s="135"/>
      <c r="E92" s="135">
        <v>0</v>
      </c>
    </row>
    <row r="93" spans="1:6" x14ac:dyDescent="0.2">
      <c r="A93" s="160" t="s">
        <v>96</v>
      </c>
      <c r="B93" s="160"/>
      <c r="C93" s="160"/>
      <c r="D93" s="160"/>
      <c r="E93" s="142">
        <f>SUM(E90:E92)</f>
        <v>133075536.69</v>
      </c>
    </row>
    <row r="94" spans="1:6" x14ac:dyDescent="0.2">
      <c r="A94" s="160" t="s">
        <v>97</v>
      </c>
      <c r="B94" s="160"/>
      <c r="C94" s="160"/>
      <c r="D94" s="160"/>
      <c r="E94" s="142">
        <f>C17+C48+C58+C65</f>
        <v>134124779.59000002</v>
      </c>
      <c r="F94" s="138">
        <f>+E94-E93</f>
        <v>1049242.9000000209</v>
      </c>
    </row>
    <row r="95" spans="1:6" x14ac:dyDescent="0.2">
      <c r="D95"/>
      <c r="E95"/>
    </row>
    <row r="96" spans="1:6" x14ac:dyDescent="0.2">
      <c r="D96" s="85" t="s">
        <v>270</v>
      </c>
      <c r="E96" s="88">
        <f>107719697.62+25355839.07</f>
        <v>133075536.69</v>
      </c>
    </row>
    <row r="97" spans="1:6" x14ac:dyDescent="0.2">
      <c r="C97"/>
      <c r="D97"/>
      <c r="E97" s="86" t="str">
        <f>IF(E93=E94,"despesa OK","DIFERENÇA")</f>
        <v>DIFERENÇA</v>
      </c>
    </row>
    <row r="98" spans="1:6" x14ac:dyDescent="0.2">
      <c r="D98"/>
      <c r="E98" s="8">
        <f>E94-E96</f>
        <v>1049242.9000000209</v>
      </c>
      <c r="F98" s="87" t="s">
        <v>354</v>
      </c>
    </row>
    <row r="102" spans="1:6" x14ac:dyDescent="0.2">
      <c r="A102" s="164" t="s">
        <v>379</v>
      </c>
      <c r="B102" s="164"/>
      <c r="C102" s="164"/>
      <c r="D102" s="164"/>
      <c r="E102" s="164"/>
    </row>
    <row r="103" spans="1:6" x14ac:dyDescent="0.2">
      <c r="D103" s="89"/>
      <c r="E103" s="89"/>
    </row>
    <row r="104" spans="1:6" x14ac:dyDescent="0.2">
      <c r="A104" s="169" t="s">
        <v>403</v>
      </c>
      <c r="B104" s="166"/>
      <c r="C104" s="9">
        <f>'Financeiro - Access'!G9</f>
        <v>443884038.98000002</v>
      </c>
      <c r="D104" s="120"/>
      <c r="E104" s="120"/>
    </row>
    <row r="105" spans="1:6" x14ac:dyDescent="0.2">
      <c r="A105" s="170" t="s">
        <v>404</v>
      </c>
      <c r="B105" s="166"/>
      <c r="C105" s="9">
        <f>+C74</f>
        <v>145708964.25</v>
      </c>
      <c r="D105" s="120"/>
      <c r="E105" s="120"/>
    </row>
    <row r="106" spans="1:6" x14ac:dyDescent="0.2">
      <c r="A106" s="165"/>
      <c r="B106" s="166"/>
      <c r="C106" s="9">
        <f>+C104-C105</f>
        <v>298175074.73000002</v>
      </c>
      <c r="D106" s="151"/>
      <c r="E106" s="120"/>
    </row>
    <row r="107" spans="1:6" x14ac:dyDescent="0.2">
      <c r="A107" s="170" t="s">
        <v>405</v>
      </c>
      <c r="B107" s="171"/>
      <c r="C107" s="9">
        <f>'Anexo I - Fev'!C104</f>
        <v>298175074.73000002</v>
      </c>
      <c r="D107"/>
      <c r="E107"/>
    </row>
    <row r="108" spans="1:6" x14ac:dyDescent="0.2">
      <c r="A108" s="167" t="s">
        <v>392</v>
      </c>
      <c r="B108" s="168"/>
      <c r="C108" s="9">
        <f>C106-C107</f>
        <v>0</v>
      </c>
      <c r="D108"/>
      <c r="E108"/>
    </row>
  </sheetData>
  <mergeCells count="29">
    <mergeCell ref="A107:B107"/>
    <mergeCell ref="A108:B108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02:E102"/>
    <mergeCell ref="A104:B104"/>
    <mergeCell ref="A105:B105"/>
    <mergeCell ref="A106:B106"/>
    <mergeCell ref="A84:C84"/>
    <mergeCell ref="A1:C1"/>
    <mergeCell ref="B3:C3"/>
    <mergeCell ref="B4:C4"/>
    <mergeCell ref="B5:C5"/>
    <mergeCell ref="B6:C6"/>
    <mergeCell ref="A85:C85"/>
    <mergeCell ref="A94:D94"/>
    <mergeCell ref="A91:B91"/>
    <mergeCell ref="A92:B92"/>
    <mergeCell ref="A87:E87"/>
    <mergeCell ref="A90:B90"/>
    <mergeCell ref="A93:D93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08"/>
  <sheetViews>
    <sheetView showGridLines="0" view="pageBreakPreview" topLeftCell="A80" zoomScale="130" zoomScaleNormal="100" zoomScaleSheetLayoutView="130" workbookViewId="0">
      <selection activeCell="A104" sqref="A104:E110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382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388</v>
      </c>
      <c r="C7" s="158"/>
    </row>
    <row r="8" spans="1:3" x14ac:dyDescent="0.2">
      <c r="A8" s="2" t="s">
        <v>37</v>
      </c>
      <c r="B8" s="159">
        <v>43238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258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266</v>
      </c>
      <c r="C16" s="10">
        <v>37194.04</v>
      </c>
    </row>
    <row r="17" spans="1:5" x14ac:dyDescent="0.2">
      <c r="A17" s="162" t="s">
        <v>70</v>
      </c>
      <c r="B17" s="162"/>
      <c r="C17" s="10">
        <f>C13+C14+C15+C16</f>
        <v>106919194.61000001</v>
      </c>
      <c r="D17" s="32">
        <v>106882000.56999999</v>
      </c>
      <c r="E17" s="112">
        <f>C17-D17</f>
        <v>37194.040000021458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267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259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2" t="s">
        <v>70</v>
      </c>
      <c r="B48" s="162"/>
      <c r="C48" s="10">
        <f>SUM(C22:C47)</f>
        <v>23418805.559999999</v>
      </c>
      <c r="D48" s="32">
        <v>23418805.559999999</v>
      </c>
      <c r="E48" s="112">
        <f>+C48-D48</f>
        <v>0</v>
      </c>
    </row>
    <row r="49" spans="1:4" x14ac:dyDescent="0.2">
      <c r="D49" s="8"/>
    </row>
    <row r="50" spans="1:4" x14ac:dyDescent="0.2">
      <c r="A50" s="4" t="s">
        <v>251</v>
      </c>
    </row>
    <row r="52" spans="1:4" x14ac:dyDescent="0.2">
      <c r="A52" s="3" t="s">
        <v>38</v>
      </c>
      <c r="B52" s="3" t="s">
        <v>39</v>
      </c>
      <c r="C52" s="11" t="s">
        <v>264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2" t="s">
        <v>70</v>
      </c>
      <c r="B58" s="162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264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257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175</v>
      </c>
      <c r="C72" s="9">
        <f>'Financeiro - Access'!H4</f>
        <v>0</v>
      </c>
    </row>
    <row r="73" spans="1:3" x14ac:dyDescent="0.2">
      <c r="A73" s="2" t="s">
        <v>43</v>
      </c>
      <c r="B73" s="2" t="s">
        <v>260</v>
      </c>
      <c r="C73" s="9">
        <f>'Financeiro - Access'!H5</f>
        <v>0</v>
      </c>
    </row>
    <row r="74" spans="1:3" x14ac:dyDescent="0.2">
      <c r="A74" s="162" t="s">
        <v>70</v>
      </c>
      <c r="B74" s="162"/>
      <c r="C74" s="10">
        <f>SUM(C70:C73)</f>
        <v>132491695.64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6" x14ac:dyDescent="0.2">
      <c r="A81" s="2" t="s">
        <v>42</v>
      </c>
      <c r="B81" s="2" t="s">
        <v>263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2" t="s">
        <v>70</v>
      </c>
      <c r="B83" s="162"/>
      <c r="C83" s="10">
        <f>SUM(C79:C82)</f>
        <v>0</v>
      </c>
    </row>
    <row r="84" spans="1:6" x14ac:dyDescent="0.2">
      <c r="A84" s="174" t="s">
        <v>315</v>
      </c>
      <c r="B84" s="174"/>
      <c r="C84" s="174"/>
    </row>
    <row r="85" spans="1:6" x14ac:dyDescent="0.2">
      <c r="A85" s="175"/>
      <c r="B85" s="175"/>
      <c r="C85" s="175"/>
    </row>
    <row r="87" spans="1:6" x14ac:dyDescent="0.2">
      <c r="A87" s="164" t="s">
        <v>98</v>
      </c>
      <c r="B87" s="164"/>
      <c r="C87" s="164"/>
      <c r="D87" s="164"/>
      <c r="E87" s="164"/>
    </row>
    <row r="88" spans="1:6" x14ac:dyDescent="0.2">
      <c r="A88" s="103"/>
      <c r="B88" s="103"/>
      <c r="C88" s="103"/>
    </row>
    <row r="89" spans="1:6" x14ac:dyDescent="0.2">
      <c r="C89" s="11" t="s">
        <v>102</v>
      </c>
      <c r="D89" s="3" t="s">
        <v>101</v>
      </c>
      <c r="E89" s="3" t="s">
        <v>70</v>
      </c>
    </row>
    <row r="90" spans="1:6" x14ac:dyDescent="0.2">
      <c r="A90" s="165"/>
      <c r="B90" s="166"/>
      <c r="C90" s="9">
        <v>546008893.58000004</v>
      </c>
      <c r="D90" s="9">
        <f>'Anexo I - Mar'!C90</f>
        <v>415673868.85000002</v>
      </c>
      <c r="E90" s="9">
        <f>C90-D90</f>
        <v>130335024.73000002</v>
      </c>
    </row>
    <row r="91" spans="1:6" x14ac:dyDescent="0.2">
      <c r="A91" s="165" t="s">
        <v>355</v>
      </c>
      <c r="B91" s="166"/>
      <c r="C91" s="9"/>
      <c r="D91" s="9"/>
      <c r="E91" s="9">
        <f>C91-D91</f>
        <v>0</v>
      </c>
    </row>
    <row r="92" spans="1:6" x14ac:dyDescent="0.2">
      <c r="A92" s="165" t="s">
        <v>121</v>
      </c>
      <c r="B92" s="166"/>
      <c r="C92" s="9"/>
      <c r="D92" s="9"/>
      <c r="E92" s="9">
        <v>0</v>
      </c>
    </row>
    <row r="93" spans="1:6" x14ac:dyDescent="0.2">
      <c r="A93" s="160" t="s">
        <v>96</v>
      </c>
      <c r="B93" s="160"/>
      <c r="C93" s="160"/>
      <c r="D93" s="160"/>
      <c r="E93" s="27">
        <f>E90</f>
        <v>130335024.73000002</v>
      </c>
    </row>
    <row r="94" spans="1:6" x14ac:dyDescent="0.2">
      <c r="A94" s="160" t="s">
        <v>97</v>
      </c>
      <c r="B94" s="160"/>
      <c r="C94" s="160"/>
      <c r="D94" s="160"/>
      <c r="E94" s="27">
        <f>C17+C48+C58+C65</f>
        <v>130372218.77000001</v>
      </c>
    </row>
    <row r="96" spans="1:6" x14ac:dyDescent="0.2">
      <c r="D96" s="85" t="s">
        <v>270</v>
      </c>
      <c r="E96" s="88">
        <f>106882000.57+23418805.56+34218.6</f>
        <v>130335024.72999999</v>
      </c>
      <c r="F96" s="8">
        <f>E94</f>
        <v>130372218.77000001</v>
      </c>
    </row>
    <row r="97" spans="1:6" x14ac:dyDescent="0.2">
      <c r="C97"/>
      <c r="E97" s="146">
        <f>E94-E93</f>
        <v>37194.039999991655</v>
      </c>
    </row>
    <row r="98" spans="1:6" x14ac:dyDescent="0.2">
      <c r="E98" s="8"/>
      <c r="F98" s="87" t="s">
        <v>354</v>
      </c>
    </row>
    <row r="102" spans="1:6" x14ac:dyDescent="0.2">
      <c r="A102" s="164" t="s">
        <v>379</v>
      </c>
      <c r="B102" s="164"/>
      <c r="C102" s="164"/>
      <c r="D102" s="164"/>
      <c r="E102" s="164"/>
    </row>
    <row r="103" spans="1:6" x14ac:dyDescent="0.2">
      <c r="D103" s="89"/>
      <c r="E103" s="89"/>
    </row>
    <row r="104" spans="1:6" x14ac:dyDescent="0.2">
      <c r="A104" s="169" t="s">
        <v>403</v>
      </c>
      <c r="B104" s="166"/>
      <c r="C104" s="9">
        <f>'Financeiro - Access'!H9</f>
        <v>576375734.62</v>
      </c>
      <c r="D104" s="120"/>
      <c r="E104" s="120"/>
    </row>
    <row r="105" spans="1:6" x14ac:dyDescent="0.2">
      <c r="A105" s="170" t="s">
        <v>404</v>
      </c>
      <c r="B105" s="166"/>
      <c r="C105" s="9">
        <f>+C74</f>
        <v>132491695.64</v>
      </c>
      <c r="D105" s="120"/>
      <c r="E105" s="120"/>
    </row>
    <row r="106" spans="1:6" x14ac:dyDescent="0.2">
      <c r="A106" s="165"/>
      <c r="B106" s="166"/>
      <c r="C106" s="9">
        <f>+C104-C105</f>
        <v>443884038.98000002</v>
      </c>
      <c r="D106" s="151"/>
      <c r="E106" s="120"/>
    </row>
    <row r="107" spans="1:6" x14ac:dyDescent="0.2">
      <c r="A107" s="170" t="s">
        <v>405</v>
      </c>
      <c r="B107" s="171"/>
      <c r="C107" s="9">
        <f>'Anexo I - Mar'!C104</f>
        <v>443884038.98000002</v>
      </c>
    </row>
    <row r="108" spans="1:6" x14ac:dyDescent="0.2">
      <c r="A108" s="167" t="s">
        <v>392</v>
      </c>
      <c r="B108" s="168"/>
      <c r="C108" s="9">
        <f>C106-C107</f>
        <v>0</v>
      </c>
    </row>
  </sheetData>
  <mergeCells count="28">
    <mergeCell ref="A107:B107"/>
    <mergeCell ref="A108:B108"/>
    <mergeCell ref="A102:E102"/>
    <mergeCell ref="A104:B104"/>
    <mergeCell ref="A105:B105"/>
    <mergeCell ref="A106:B106"/>
    <mergeCell ref="A94:D94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0:B90"/>
    <mergeCell ref="A91:B91"/>
    <mergeCell ref="A87:E87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F110"/>
  <sheetViews>
    <sheetView showGridLines="0" view="pageBreakPreview" topLeftCell="A84" zoomScale="130" zoomScaleNormal="100" zoomScaleSheetLayoutView="130" workbookViewId="0">
      <selection activeCell="A104" sqref="A104:E110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382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389</v>
      </c>
      <c r="C7" s="158"/>
    </row>
    <row r="8" spans="1:3" x14ac:dyDescent="0.2">
      <c r="A8" s="2" t="s">
        <v>37</v>
      </c>
      <c r="B8" s="159">
        <v>43271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Access'!I2</f>
        <v>77553359.540000007</v>
      </c>
    </row>
    <row r="14" spans="1:3" x14ac:dyDescent="0.2">
      <c r="A14" s="2" t="s">
        <v>41</v>
      </c>
      <c r="B14" s="5" t="s">
        <v>2</v>
      </c>
      <c r="C14" s="10">
        <f>'Despesa - Access'!I3</f>
        <v>15971759.99</v>
      </c>
    </row>
    <row r="15" spans="1:3" x14ac:dyDescent="0.2">
      <c r="A15" s="2" t="s">
        <v>42</v>
      </c>
      <c r="B15" s="5" t="s">
        <v>258</v>
      </c>
      <c r="C15" s="10">
        <f>'Despesa - Access'!I4</f>
        <v>14312210.220000001</v>
      </c>
    </row>
    <row r="16" spans="1:3" ht="51" x14ac:dyDescent="0.2">
      <c r="A16" s="6" t="s">
        <v>43</v>
      </c>
      <c r="B16" s="5" t="s">
        <v>266</v>
      </c>
      <c r="C16" s="10">
        <v>18079.8</v>
      </c>
    </row>
    <row r="17" spans="1:6" x14ac:dyDescent="0.2">
      <c r="A17" s="162" t="s">
        <v>70</v>
      </c>
      <c r="B17" s="162"/>
      <c r="C17" s="10">
        <f>SUM(C13:C16)</f>
        <v>107855409.55</v>
      </c>
      <c r="D17" s="32">
        <v>107837329.75</v>
      </c>
      <c r="E17" s="8">
        <f>+D17-C17</f>
        <v>-18079.79999999702</v>
      </c>
      <c r="F17" t="s">
        <v>394</v>
      </c>
    </row>
    <row r="18" spans="1:6" x14ac:dyDescent="0.2">
      <c r="D18" s="90"/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Access'!I6</f>
        <v>150389.72</v>
      </c>
      <c r="D22" s="32"/>
    </row>
    <row r="23" spans="1:6" x14ac:dyDescent="0.2">
      <c r="A23" s="2" t="s">
        <v>41</v>
      </c>
      <c r="B23" s="2" t="s">
        <v>4</v>
      </c>
      <c r="C23" s="9">
        <f>'Despesa - Access'!I7</f>
        <v>3995881.17</v>
      </c>
      <c r="D23" s="32"/>
      <c r="E23" s="32"/>
    </row>
    <row r="24" spans="1:6" x14ac:dyDescent="0.2">
      <c r="A24" s="2" t="s">
        <v>42</v>
      </c>
      <c r="B24" s="2" t="s">
        <v>5</v>
      </c>
      <c r="C24" s="9">
        <f>'Despesa - Access'!I8</f>
        <v>544521</v>
      </c>
      <c r="D24" s="32"/>
      <c r="E24" s="32"/>
    </row>
    <row r="25" spans="1:6" x14ac:dyDescent="0.2">
      <c r="A25" s="2" t="s">
        <v>43</v>
      </c>
      <c r="B25" s="2" t="s">
        <v>6</v>
      </c>
      <c r="C25" s="9">
        <f>'Despesa - Access'!I9</f>
        <v>2029531.57</v>
      </c>
      <c r="D25" s="32"/>
      <c r="E25" s="32"/>
    </row>
    <row r="26" spans="1:6" x14ac:dyDescent="0.2">
      <c r="A26" s="2" t="s">
        <v>44</v>
      </c>
      <c r="B26" s="2" t="s">
        <v>7</v>
      </c>
      <c r="C26" s="9">
        <f>'Despesa - Access'!I10</f>
        <v>116658.7</v>
      </c>
      <c r="E26" s="32"/>
    </row>
    <row r="27" spans="1:6" x14ac:dyDescent="0.2">
      <c r="A27" s="2" t="s">
        <v>45</v>
      </c>
      <c r="B27" s="2" t="s">
        <v>67</v>
      </c>
      <c r="C27" s="9">
        <f>'Despesa - Access'!I11</f>
        <v>25946.91</v>
      </c>
    </row>
    <row r="28" spans="1:6" x14ac:dyDescent="0.2">
      <c r="A28" s="2" t="s">
        <v>46</v>
      </c>
      <c r="B28" s="2" t="s">
        <v>8</v>
      </c>
      <c r="C28" s="9">
        <f>'Despesa - Access'!I12</f>
        <v>2163819.0299999998</v>
      </c>
    </row>
    <row r="29" spans="1:6" x14ac:dyDescent="0.2">
      <c r="A29" s="2" t="s">
        <v>47</v>
      </c>
      <c r="B29" s="2" t="s">
        <v>9</v>
      </c>
      <c r="C29" s="9">
        <f>'Despesa - Access'!I13</f>
        <v>2874569.93</v>
      </c>
    </row>
    <row r="30" spans="1:6" x14ac:dyDescent="0.2">
      <c r="A30" s="2" t="s">
        <v>48</v>
      </c>
      <c r="B30" s="2" t="s">
        <v>10</v>
      </c>
      <c r="C30" s="9">
        <f>'Despesa - Access'!I14</f>
        <v>218682.55</v>
      </c>
    </row>
    <row r="31" spans="1:6" x14ac:dyDescent="0.2">
      <c r="A31" s="2" t="s">
        <v>49</v>
      </c>
      <c r="B31" s="2" t="s">
        <v>11</v>
      </c>
      <c r="C31" s="9">
        <f>'Despesa - Access'!I15</f>
        <v>721342.81</v>
      </c>
    </row>
    <row r="32" spans="1:6" x14ac:dyDescent="0.2">
      <c r="A32" s="2" t="s">
        <v>50</v>
      </c>
      <c r="B32" s="2" t="s">
        <v>12</v>
      </c>
      <c r="C32" s="9">
        <f>'Despesa - Access'!I16</f>
        <v>53827.92</v>
      </c>
    </row>
    <row r="33" spans="1:5" x14ac:dyDescent="0.2">
      <c r="A33" s="2" t="s">
        <v>51</v>
      </c>
      <c r="B33" s="2" t="s">
        <v>13</v>
      </c>
      <c r="C33" s="9">
        <f>'Despesa - Access'!I17</f>
        <v>303609</v>
      </c>
    </row>
    <row r="34" spans="1:5" ht="63.75" x14ac:dyDescent="0.2">
      <c r="A34" s="6" t="s">
        <v>52</v>
      </c>
      <c r="B34" s="7" t="s">
        <v>267</v>
      </c>
      <c r="C34" s="9">
        <f>'Despesa - Access'!I18</f>
        <v>520299.84</v>
      </c>
    </row>
    <row r="35" spans="1:5" x14ac:dyDescent="0.2">
      <c r="A35" s="2" t="s">
        <v>53</v>
      </c>
      <c r="B35" s="2" t="s">
        <v>14</v>
      </c>
      <c r="C35" s="9">
        <f>'Despesa - Access'!I19</f>
        <v>1683731.67</v>
      </c>
    </row>
    <row r="36" spans="1:5" x14ac:dyDescent="0.2">
      <c r="A36" s="2" t="s">
        <v>54</v>
      </c>
      <c r="B36" s="2" t="s">
        <v>259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1387.68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1066966.74</v>
      </c>
    </row>
    <row r="39" spans="1:5" x14ac:dyDescent="0.2">
      <c r="A39" s="2" t="s">
        <v>57</v>
      </c>
      <c r="B39" s="2" t="s">
        <v>16</v>
      </c>
      <c r="C39" s="9">
        <f>'Despesa - Access'!I23</f>
        <v>9151.77</v>
      </c>
    </row>
    <row r="40" spans="1:5" x14ac:dyDescent="0.2">
      <c r="A40" s="2" t="s">
        <v>58</v>
      </c>
      <c r="B40" s="2" t="s">
        <v>17</v>
      </c>
      <c r="C40" s="9">
        <f>'Despesa - Access'!I24</f>
        <v>693.51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9032.99</v>
      </c>
    </row>
    <row r="44" spans="1:5" x14ac:dyDescent="0.2">
      <c r="A44" s="2" t="s">
        <v>62</v>
      </c>
      <c r="B44" s="2" t="s">
        <v>21</v>
      </c>
      <c r="C44" s="9">
        <f>'Despesa - Access'!I28</f>
        <v>59569.49</v>
      </c>
    </row>
    <row r="45" spans="1:5" x14ac:dyDescent="0.2">
      <c r="A45" s="2" t="s">
        <v>63</v>
      </c>
      <c r="B45" s="2" t="s">
        <v>69</v>
      </c>
      <c r="C45" s="9">
        <f>'Despesa - Access'!I29</f>
        <v>222878.82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4965656.12</v>
      </c>
    </row>
    <row r="48" spans="1:5" x14ac:dyDescent="0.2">
      <c r="A48" s="162" t="s">
        <v>70</v>
      </c>
      <c r="B48" s="162"/>
      <c r="C48" s="10">
        <f>SUM(C22:C47)</f>
        <v>21738148.940000001</v>
      </c>
      <c r="D48" s="8">
        <v>21738148.940000001</v>
      </c>
      <c r="E48" s="8">
        <f>+D48-C48</f>
        <v>0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Access'!I32</f>
        <v>0</v>
      </c>
    </row>
    <row r="54" spans="1:5" x14ac:dyDescent="0.2">
      <c r="A54" s="2" t="s">
        <v>41</v>
      </c>
      <c r="B54" s="2" t="s">
        <v>26</v>
      </c>
      <c r="C54" s="9">
        <f>'Despesa - Access'!I33</f>
        <v>0</v>
      </c>
    </row>
    <row r="55" spans="1:5" x14ac:dyDescent="0.2">
      <c r="A55" s="2" t="s">
        <v>42</v>
      </c>
      <c r="B55" s="2" t="s">
        <v>66</v>
      </c>
      <c r="C55" s="9">
        <f>'Despesa - Access'!I34</f>
        <v>0</v>
      </c>
    </row>
    <row r="56" spans="1:5" x14ac:dyDescent="0.2">
      <c r="A56" s="2" t="s">
        <v>43</v>
      </c>
      <c r="B56" s="2" t="s">
        <v>27</v>
      </c>
      <c r="C56" s="9">
        <f>'Despesa - Access'!I35</f>
        <v>0</v>
      </c>
    </row>
    <row r="57" spans="1:5" x14ac:dyDescent="0.2">
      <c r="A57" s="2" t="s">
        <v>44</v>
      </c>
      <c r="B57" s="2" t="s">
        <v>28</v>
      </c>
      <c r="C57" s="9">
        <f>'Despesa - Access'!I36</f>
        <v>20976.91</v>
      </c>
    </row>
    <row r="58" spans="1:5" x14ac:dyDescent="0.2">
      <c r="A58" s="162" t="s">
        <v>70</v>
      </c>
      <c r="B58" s="162"/>
      <c r="C58" s="10">
        <f>SUM(C53:C57)</f>
        <v>20976.91</v>
      </c>
      <c r="D58" s="8">
        <v>20976.91</v>
      </c>
      <c r="E58" s="8">
        <f>D58-C58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Access'!I37</f>
        <v>0</v>
      </c>
    </row>
    <row r="64" spans="1:5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Access'!I2</f>
        <v>107854940.88</v>
      </c>
    </row>
    <row r="71" spans="1:3" x14ac:dyDescent="0.2">
      <c r="A71" s="2" t="s">
        <v>41</v>
      </c>
      <c r="B71" s="2" t="s">
        <v>75</v>
      </c>
      <c r="C71" s="9">
        <f>'Financeiro - Access'!I3</f>
        <v>25780449.710000001</v>
      </c>
    </row>
    <row r="72" spans="1:3" x14ac:dyDescent="0.2">
      <c r="A72" s="2" t="s">
        <v>42</v>
      </c>
      <c r="B72" s="2" t="s">
        <v>175</v>
      </c>
      <c r="C72" s="9">
        <f>'Financeiro - Access'!I4</f>
        <v>1144380</v>
      </c>
    </row>
    <row r="73" spans="1:3" x14ac:dyDescent="0.2">
      <c r="A73" s="2" t="s">
        <v>43</v>
      </c>
      <c r="B73" s="2" t="s">
        <v>260</v>
      </c>
      <c r="C73" s="9">
        <f>'Financeiro - Access'!I5</f>
        <v>0</v>
      </c>
    </row>
    <row r="74" spans="1:3" x14ac:dyDescent="0.2">
      <c r="A74" s="162" t="s">
        <v>70</v>
      </c>
      <c r="B74" s="162"/>
      <c r="C74" s="10">
        <f>SUM(C70:C73)</f>
        <v>134779770.59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5" x14ac:dyDescent="0.2">
      <c r="A81" s="2" t="s">
        <v>42</v>
      </c>
      <c r="B81" s="2" t="s">
        <v>263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2" t="s">
        <v>70</v>
      </c>
      <c r="B83" s="162"/>
      <c r="C83" s="10">
        <f>SUM(C79:C82)</f>
        <v>0</v>
      </c>
    </row>
    <row r="84" spans="1:5" x14ac:dyDescent="0.2">
      <c r="A84" s="174" t="s">
        <v>315</v>
      </c>
      <c r="B84" s="174"/>
      <c r="C84" s="174"/>
    </row>
    <row r="85" spans="1:5" x14ac:dyDescent="0.2">
      <c r="A85" s="175"/>
      <c r="B85" s="175"/>
      <c r="C85" s="175"/>
    </row>
    <row r="89" spans="1:5" x14ac:dyDescent="0.2">
      <c r="A89" s="164" t="s">
        <v>98</v>
      </c>
      <c r="B89" s="164"/>
      <c r="C89" s="164"/>
      <c r="D89" s="164"/>
      <c r="E89" s="164"/>
    </row>
    <row r="90" spans="1:5" x14ac:dyDescent="0.2">
      <c r="A90" s="147"/>
      <c r="B90" s="147"/>
      <c r="C90" s="147"/>
    </row>
    <row r="91" spans="1:5" x14ac:dyDescent="0.2">
      <c r="C91" s="11" t="s">
        <v>391</v>
      </c>
      <c r="D91" s="3" t="s">
        <v>390</v>
      </c>
      <c r="E91" s="3" t="s">
        <v>70</v>
      </c>
    </row>
    <row r="92" spans="1:5" x14ac:dyDescent="0.2">
      <c r="A92" s="165"/>
      <c r="B92" s="166"/>
      <c r="C92" s="9">
        <v>675605349.17999995</v>
      </c>
      <c r="D92" s="9">
        <v>546008893.58000004</v>
      </c>
      <c r="E92" s="9">
        <f>C92-D92</f>
        <v>129596455.5999999</v>
      </c>
    </row>
    <row r="93" spans="1:5" x14ac:dyDescent="0.2">
      <c r="A93" s="165" t="s">
        <v>355</v>
      </c>
      <c r="B93" s="166"/>
      <c r="C93" s="9"/>
      <c r="D93" s="9"/>
      <c r="E93" s="9">
        <f>C93-D93</f>
        <v>0</v>
      </c>
    </row>
    <row r="94" spans="1:5" x14ac:dyDescent="0.2">
      <c r="A94" s="165" t="s">
        <v>121</v>
      </c>
      <c r="B94" s="166"/>
      <c r="C94" s="9"/>
      <c r="D94" s="9"/>
      <c r="E94" s="9">
        <v>0</v>
      </c>
    </row>
    <row r="95" spans="1:5" x14ac:dyDescent="0.2">
      <c r="A95" s="160" t="s">
        <v>96</v>
      </c>
      <c r="B95" s="160"/>
      <c r="C95" s="160"/>
      <c r="D95" s="160"/>
      <c r="E95" s="27">
        <f>E92</f>
        <v>129596455.5999999</v>
      </c>
    </row>
    <row r="96" spans="1:5" x14ac:dyDescent="0.2">
      <c r="A96" s="160" t="s">
        <v>97</v>
      </c>
      <c r="B96" s="160"/>
      <c r="C96" s="160"/>
      <c r="D96" s="160"/>
      <c r="E96" s="27">
        <f>C17+C48+C58</f>
        <v>129614535.39999999</v>
      </c>
    </row>
    <row r="97" spans="1:6" x14ac:dyDescent="0.2">
      <c r="E97" s="8">
        <f>E95-E96</f>
        <v>-18079.800000086427</v>
      </c>
    </row>
    <row r="98" spans="1:6" x14ac:dyDescent="0.2">
      <c r="D98" s="85" t="s">
        <v>270</v>
      </c>
      <c r="E98" s="88">
        <f>107837329.75+21738148.94+20976.91</f>
        <v>129596455.59999999</v>
      </c>
    </row>
    <row r="99" spans="1:6" x14ac:dyDescent="0.2">
      <c r="C99"/>
      <c r="E99" s="146">
        <f>E96-E95</f>
        <v>18079.800000086427</v>
      </c>
      <c r="F99" t="s">
        <v>393</v>
      </c>
    </row>
    <row r="100" spans="1:6" x14ac:dyDescent="0.2">
      <c r="E100" s="8"/>
    </row>
    <row r="104" spans="1:6" x14ac:dyDescent="0.2">
      <c r="A104" s="164" t="s">
        <v>379</v>
      </c>
      <c r="B104" s="164"/>
      <c r="C104" s="164"/>
      <c r="D104" s="164"/>
      <c r="E104" s="164"/>
    </row>
    <row r="105" spans="1:6" x14ac:dyDescent="0.2">
      <c r="D105" s="89"/>
      <c r="E105" s="89"/>
    </row>
    <row r="106" spans="1:6" x14ac:dyDescent="0.2">
      <c r="A106" s="169" t="s">
        <v>403</v>
      </c>
      <c r="B106" s="166"/>
      <c r="C106" s="9">
        <f>'Financeiro - Access'!I9</f>
        <v>711155505.21000004</v>
      </c>
      <c r="D106" s="120"/>
      <c r="E106" s="120"/>
    </row>
    <row r="107" spans="1:6" x14ac:dyDescent="0.2">
      <c r="A107" s="170" t="s">
        <v>404</v>
      </c>
      <c r="B107" s="166"/>
      <c r="C107" s="9">
        <f>C74</f>
        <v>134779770.59</v>
      </c>
      <c r="D107" s="120"/>
      <c r="E107" s="120"/>
    </row>
    <row r="108" spans="1:6" x14ac:dyDescent="0.2">
      <c r="A108" s="165"/>
      <c r="B108" s="166"/>
      <c r="C108" s="9">
        <f>+C106-C107</f>
        <v>576375734.62</v>
      </c>
      <c r="D108" s="151"/>
      <c r="E108" s="120"/>
    </row>
    <row r="109" spans="1:6" x14ac:dyDescent="0.2">
      <c r="A109" s="170" t="s">
        <v>405</v>
      </c>
      <c r="B109" s="171"/>
      <c r="C109" s="9">
        <f>'Anexo I - Abr'!C104</f>
        <v>576375734.62</v>
      </c>
    </row>
    <row r="110" spans="1:6" x14ac:dyDescent="0.2">
      <c r="A110" s="167" t="s">
        <v>392</v>
      </c>
      <c r="B110" s="168"/>
      <c r="C110" s="9">
        <f>C108-C109</f>
        <v>0</v>
      </c>
    </row>
  </sheetData>
  <mergeCells count="28">
    <mergeCell ref="A109:B109"/>
    <mergeCell ref="A110:B110"/>
    <mergeCell ref="A92:B92"/>
    <mergeCell ref="A84:C84"/>
    <mergeCell ref="A89:E89"/>
    <mergeCell ref="A93:B93"/>
    <mergeCell ref="A85:C85"/>
    <mergeCell ref="A107:B107"/>
    <mergeCell ref="A108:B108"/>
    <mergeCell ref="A94:B94"/>
    <mergeCell ref="A95:D95"/>
    <mergeCell ref="A96:D96"/>
    <mergeCell ref="A104:E104"/>
    <mergeCell ref="A106:B106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86"/>
  <sheetViews>
    <sheetView showGridLines="0" tabSelected="1" view="pageBreakPreview" topLeftCell="A64" zoomScale="115" zoomScaleNormal="100" zoomScaleSheetLayoutView="115" workbookViewId="0">
      <selection activeCell="G19" sqref="G19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  <col min="4" max="4" width="18.42578125" style="32" customWidth="1"/>
    <col min="5" max="5" width="18.140625" customWidth="1"/>
    <col min="6" max="6" width="6.42578125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382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8" t="s">
        <v>395</v>
      </c>
      <c r="C7" s="158"/>
    </row>
    <row r="8" spans="1:3" x14ac:dyDescent="0.2">
      <c r="A8" s="2" t="s">
        <v>37</v>
      </c>
      <c r="B8" s="159">
        <v>43300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Access'!J2</f>
        <v>80324065.549999997</v>
      </c>
    </row>
    <row r="14" spans="1:3" x14ac:dyDescent="0.2">
      <c r="A14" s="2" t="s">
        <v>41</v>
      </c>
      <c r="B14" s="5" t="s">
        <v>2</v>
      </c>
      <c r="C14" s="10">
        <f>'Despesa - Access'!J3</f>
        <v>16333308.779999999</v>
      </c>
    </row>
    <row r="15" spans="1:3" x14ac:dyDescent="0.2">
      <c r="A15" s="2" t="s">
        <v>42</v>
      </c>
      <c r="B15" s="5" t="s">
        <v>258</v>
      </c>
      <c r="C15" s="10">
        <f>'Despesa - Access'!J4</f>
        <v>14534238.67</v>
      </c>
    </row>
    <row r="16" spans="1:3" ht="51" x14ac:dyDescent="0.2">
      <c r="A16" s="6" t="s">
        <v>43</v>
      </c>
      <c r="B16" s="5" t="s">
        <v>266</v>
      </c>
      <c r="C16" s="10">
        <v>25689.54</v>
      </c>
    </row>
    <row r="17" spans="1:7" x14ac:dyDescent="0.2">
      <c r="A17" s="162" t="s">
        <v>70</v>
      </c>
      <c r="B17" s="162"/>
      <c r="C17" s="10">
        <f>SUM(C13:C16)</f>
        <v>111217302.54000001</v>
      </c>
      <c r="E17" s="112"/>
      <c r="G17" s="153"/>
    </row>
    <row r="19" spans="1:7" x14ac:dyDescent="0.2">
      <c r="A19" s="4" t="s">
        <v>71</v>
      </c>
    </row>
    <row r="21" spans="1:7" x14ac:dyDescent="0.2">
      <c r="A21" s="3" t="s">
        <v>38</v>
      </c>
      <c r="B21" s="3" t="s">
        <v>39</v>
      </c>
      <c r="C21" s="11" t="s">
        <v>264</v>
      </c>
    </row>
    <row r="22" spans="1:7" x14ac:dyDescent="0.2">
      <c r="A22" s="2" t="s">
        <v>40</v>
      </c>
      <c r="B22" s="2" t="s">
        <v>3</v>
      </c>
      <c r="C22" s="9">
        <f>'Despesa - Access'!J6</f>
        <v>156176.35999999999</v>
      </c>
    </row>
    <row r="23" spans="1:7" x14ac:dyDescent="0.2">
      <c r="A23" s="2" t="s">
        <v>41</v>
      </c>
      <c r="B23" s="2" t="s">
        <v>4</v>
      </c>
      <c r="C23" s="9">
        <f>'Despesa - Access'!J7</f>
        <v>4011655.71</v>
      </c>
    </row>
    <row r="24" spans="1:7" x14ac:dyDescent="0.2">
      <c r="A24" s="2" t="s">
        <v>42</v>
      </c>
      <c r="B24" s="2" t="s">
        <v>5</v>
      </c>
      <c r="C24" s="9">
        <f>'Despesa - Access'!J8</f>
        <v>543974.34</v>
      </c>
    </row>
    <row r="25" spans="1:7" x14ac:dyDescent="0.2">
      <c r="A25" s="2" t="s">
        <v>43</v>
      </c>
      <c r="B25" s="2" t="s">
        <v>6</v>
      </c>
      <c r="C25" s="9">
        <f>'Despesa - Access'!J9</f>
        <v>2022193.12</v>
      </c>
    </row>
    <row r="26" spans="1:7" x14ac:dyDescent="0.2">
      <c r="A26" s="2" t="s">
        <v>44</v>
      </c>
      <c r="B26" s="2" t="s">
        <v>7</v>
      </c>
      <c r="C26" s="9">
        <f>'Despesa - Access'!J10</f>
        <v>77572.570000000007</v>
      </c>
    </row>
    <row r="27" spans="1:7" x14ac:dyDescent="0.2">
      <c r="A27" s="2" t="s">
        <v>45</v>
      </c>
      <c r="B27" s="2" t="s">
        <v>67</v>
      </c>
      <c r="C27" s="9">
        <f>'Despesa - Access'!J11</f>
        <v>54455.69</v>
      </c>
    </row>
    <row r="28" spans="1:7" x14ac:dyDescent="0.2">
      <c r="A28" s="2" t="s">
        <v>46</v>
      </c>
      <c r="B28" s="2" t="s">
        <v>8</v>
      </c>
      <c r="C28" s="9">
        <f>'Despesa - Access'!J12</f>
        <v>2154498.36</v>
      </c>
    </row>
    <row r="29" spans="1:7" x14ac:dyDescent="0.2">
      <c r="A29" s="2" t="s">
        <v>47</v>
      </c>
      <c r="B29" s="2" t="s">
        <v>9</v>
      </c>
      <c r="C29" s="9">
        <f>'Despesa - Access'!J13</f>
        <v>2826741.96</v>
      </c>
    </row>
    <row r="30" spans="1:7" x14ac:dyDescent="0.2">
      <c r="A30" s="2" t="s">
        <v>48</v>
      </c>
      <c r="B30" s="2" t="s">
        <v>10</v>
      </c>
      <c r="C30" s="9">
        <f>'Despesa - Access'!J14</f>
        <v>180505.69</v>
      </c>
    </row>
    <row r="31" spans="1:7" x14ac:dyDescent="0.2">
      <c r="A31" s="2" t="s">
        <v>49</v>
      </c>
      <c r="B31" s="2" t="s">
        <v>11</v>
      </c>
      <c r="C31" s="9">
        <f>'Despesa - Access'!J15</f>
        <v>595834.99</v>
      </c>
    </row>
    <row r="32" spans="1:7" x14ac:dyDescent="0.2">
      <c r="A32" s="2" t="s">
        <v>50</v>
      </c>
      <c r="B32" s="2" t="s">
        <v>12</v>
      </c>
      <c r="C32" s="9">
        <f>'Despesa - Access'!J16</f>
        <v>47378.02</v>
      </c>
    </row>
    <row r="33" spans="1:5" x14ac:dyDescent="0.2">
      <c r="A33" s="2" t="s">
        <v>51</v>
      </c>
      <c r="B33" s="2" t="s">
        <v>13</v>
      </c>
      <c r="C33" s="9">
        <f>'Despesa - Access'!J17</f>
        <v>283587.82</v>
      </c>
    </row>
    <row r="34" spans="1:5" ht="63.75" x14ac:dyDescent="0.2">
      <c r="A34" s="6" t="s">
        <v>52</v>
      </c>
      <c r="B34" s="7" t="s">
        <v>267</v>
      </c>
      <c r="C34" s="9">
        <f>'Despesa - Access'!J18</f>
        <v>376648.06</v>
      </c>
    </row>
    <row r="35" spans="1:5" x14ac:dyDescent="0.2">
      <c r="A35" s="2" t="s">
        <v>53</v>
      </c>
      <c r="B35" s="2" t="s">
        <v>14</v>
      </c>
      <c r="C35" s="9">
        <f>'Despesa - Access'!J19</f>
        <v>461069.81</v>
      </c>
    </row>
    <row r="36" spans="1:5" x14ac:dyDescent="0.2">
      <c r="A36" s="2" t="s">
        <v>54</v>
      </c>
      <c r="B36" s="2" t="s">
        <v>259</v>
      </c>
      <c r="C36" s="9">
        <f>'Despesa - Access'!J20</f>
        <v>769110.08</v>
      </c>
    </row>
    <row r="37" spans="1:5" x14ac:dyDescent="0.2">
      <c r="A37" s="2" t="s">
        <v>55</v>
      </c>
      <c r="B37" s="2" t="s">
        <v>15</v>
      </c>
      <c r="C37" s="9">
        <f>'Despesa - Access'!J21</f>
        <v>5513.44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1901915.08</v>
      </c>
    </row>
    <row r="39" spans="1:5" x14ac:dyDescent="0.2">
      <c r="A39" s="2" t="s">
        <v>57</v>
      </c>
      <c r="B39" s="2" t="s">
        <v>16</v>
      </c>
      <c r="C39" s="9">
        <f>'Despesa - Access'!J23</f>
        <v>50676.99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262412</v>
      </c>
    </row>
    <row r="42" spans="1:5" x14ac:dyDescent="0.2">
      <c r="A42" s="2" t="s">
        <v>60</v>
      </c>
      <c r="B42" s="2" t="s">
        <v>19</v>
      </c>
      <c r="C42" s="9">
        <f>'Despesa - Access'!J26</f>
        <v>8500</v>
      </c>
    </row>
    <row r="43" spans="1:5" x14ac:dyDescent="0.2">
      <c r="A43" s="2" t="s">
        <v>61</v>
      </c>
      <c r="B43" s="2" t="s">
        <v>20</v>
      </c>
      <c r="C43" s="9">
        <f>'Despesa - Access'!J27</f>
        <v>14819.78</v>
      </c>
    </row>
    <row r="44" spans="1:5" x14ac:dyDescent="0.2">
      <c r="A44" s="2" t="s">
        <v>62</v>
      </c>
      <c r="B44" s="2" t="s">
        <v>21</v>
      </c>
      <c r="C44" s="9">
        <f>'Despesa - Access'!J28</f>
        <v>36459.83</v>
      </c>
    </row>
    <row r="45" spans="1:5" x14ac:dyDescent="0.2">
      <c r="A45" s="2" t="s">
        <v>63</v>
      </c>
      <c r="B45" s="2" t="s">
        <v>69</v>
      </c>
      <c r="C45" s="9">
        <f>'Despesa - Access'!J29</f>
        <v>85543.94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7543541.2699999996</v>
      </c>
    </row>
    <row r="48" spans="1:5" x14ac:dyDescent="0.2">
      <c r="A48" s="162" t="s">
        <v>70</v>
      </c>
      <c r="B48" s="162"/>
      <c r="C48" s="10">
        <f>SUM(C22:C47)</f>
        <v>24470784.91</v>
      </c>
      <c r="E48" s="112"/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2" t="s">
        <v>70</v>
      </c>
      <c r="B58" s="162"/>
      <c r="C58" s="10">
        <f>SUM(C53:C57)</f>
        <v>0</v>
      </c>
      <c r="E58" s="112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Access'!J2</f>
        <v>111130400.40000001</v>
      </c>
    </row>
    <row r="71" spans="1:3" x14ac:dyDescent="0.2">
      <c r="A71" s="2" t="s">
        <v>41</v>
      </c>
      <c r="B71" s="2" t="s">
        <v>75</v>
      </c>
      <c r="C71" s="9">
        <f>'Financeiro - Access'!J3</f>
        <v>26526672.859999999</v>
      </c>
    </row>
    <row r="72" spans="1:3" x14ac:dyDescent="0.2">
      <c r="A72" s="2" t="s">
        <v>42</v>
      </c>
      <c r="B72" s="2" t="s">
        <v>175</v>
      </c>
      <c r="C72" s="9">
        <f>'Financeiro - Access'!J4</f>
        <v>0</v>
      </c>
    </row>
    <row r="73" spans="1:3" x14ac:dyDescent="0.2">
      <c r="A73" s="2" t="s">
        <v>43</v>
      </c>
      <c r="B73" s="2" t="s">
        <v>260</v>
      </c>
      <c r="C73" s="9">
        <f>'Financeiro - Access'!J5</f>
        <v>0</v>
      </c>
    </row>
    <row r="74" spans="1:3" x14ac:dyDescent="0.2">
      <c r="A74" s="162" t="s">
        <v>70</v>
      </c>
      <c r="B74" s="162"/>
      <c r="C74" s="10">
        <f>SUM(C70:C73)</f>
        <v>137657073.25999999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5" x14ac:dyDescent="0.2">
      <c r="A81" s="2" t="s">
        <v>42</v>
      </c>
      <c r="B81" s="2" t="s">
        <v>263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79" t="s">
        <v>70</v>
      </c>
      <c r="B83" s="179"/>
      <c r="C83" s="98">
        <f>SUM(C79:C82)</f>
        <v>0</v>
      </c>
    </row>
    <row r="84" spans="1:5" x14ac:dyDescent="0.2">
      <c r="A84" s="174" t="s">
        <v>315</v>
      </c>
      <c r="B84" s="174"/>
      <c r="C84" s="174"/>
    </row>
    <row r="85" spans="1:5" x14ac:dyDescent="0.2">
      <c r="A85" s="178" t="s">
        <v>412</v>
      </c>
      <c r="B85" s="178"/>
      <c r="C85" s="178"/>
    </row>
    <row r="86" spans="1:5" x14ac:dyDescent="0.2">
      <c r="A86" s="175"/>
      <c r="B86" s="175"/>
      <c r="C86" s="175"/>
      <c r="D86" s="121"/>
      <c r="E86" s="121"/>
    </row>
  </sheetData>
  <mergeCells count="17">
    <mergeCell ref="B7:C7"/>
    <mergeCell ref="B8:C8"/>
    <mergeCell ref="A86:C86"/>
    <mergeCell ref="A85:C85"/>
    <mergeCell ref="A17:B17"/>
    <mergeCell ref="A83:B83"/>
    <mergeCell ref="A48:B48"/>
    <mergeCell ref="A58:B58"/>
    <mergeCell ref="A65:B65"/>
    <mergeCell ref="A74:B74"/>
    <mergeCell ref="A66:C66"/>
    <mergeCell ref="A84:C84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103"/>
  <sheetViews>
    <sheetView showGridLines="0" view="pageBreakPreview" topLeftCell="A31" zoomScale="115" zoomScaleNormal="100" zoomScaleSheetLayoutView="115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411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7" t="s">
        <v>407</v>
      </c>
      <c r="C7" s="158"/>
    </row>
    <row r="8" spans="1:3" x14ac:dyDescent="0.2">
      <c r="A8" s="2" t="s">
        <v>37</v>
      </c>
      <c r="B8" s="159">
        <v>43332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Access'!K2</f>
        <v>76618896.780000001</v>
      </c>
    </row>
    <row r="14" spans="1:3" x14ac:dyDescent="0.2">
      <c r="A14" s="2" t="s">
        <v>41</v>
      </c>
      <c r="B14" s="5" t="s">
        <v>2</v>
      </c>
      <c r="C14" s="10">
        <f>'Despesa - Access'!K3</f>
        <v>16721189.619999999</v>
      </c>
    </row>
    <row r="15" spans="1:3" x14ac:dyDescent="0.2">
      <c r="A15" s="2" t="s">
        <v>42</v>
      </c>
      <c r="B15" s="5" t="s">
        <v>258</v>
      </c>
      <c r="C15" s="10">
        <f>'Despesa - Access'!K4</f>
        <v>14160722.99</v>
      </c>
    </row>
    <row r="16" spans="1:3" ht="51" x14ac:dyDescent="0.2">
      <c r="A16" s="6" t="s">
        <v>43</v>
      </c>
      <c r="B16" s="5" t="s">
        <v>266</v>
      </c>
      <c r="C16" s="10">
        <v>269839.43</v>
      </c>
    </row>
    <row r="17" spans="1:6" x14ac:dyDescent="0.2">
      <c r="A17" s="162" t="s">
        <v>70</v>
      </c>
      <c r="B17" s="162"/>
      <c r="C17" s="10">
        <f>SUM(C13:C16)</f>
        <v>107770648.82000001</v>
      </c>
      <c r="D17" s="8">
        <v>107500809.39</v>
      </c>
      <c r="E17" s="8">
        <f>D17-C17</f>
        <v>-269839.43000000715</v>
      </c>
      <c r="F17" s="153" t="s">
        <v>394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Access'!K6</f>
        <v>157537.01</v>
      </c>
    </row>
    <row r="23" spans="1:6" x14ac:dyDescent="0.2">
      <c r="A23" s="2" t="s">
        <v>41</v>
      </c>
      <c r="B23" s="2" t="s">
        <v>4</v>
      </c>
      <c r="C23" s="9">
        <f>'Despesa - Access'!K7</f>
        <v>4207410.07</v>
      </c>
    </row>
    <row r="24" spans="1:6" x14ac:dyDescent="0.2">
      <c r="A24" s="2" t="s">
        <v>42</v>
      </c>
      <c r="B24" s="2" t="s">
        <v>5</v>
      </c>
      <c r="C24" s="9">
        <f>'Despesa - Access'!K8</f>
        <v>563394</v>
      </c>
    </row>
    <row r="25" spans="1:6" x14ac:dyDescent="0.2">
      <c r="A25" s="2" t="s">
        <v>43</v>
      </c>
      <c r="B25" s="2" t="s">
        <v>6</v>
      </c>
      <c r="C25" s="9">
        <f>'Despesa - Access'!K9</f>
        <v>1999605.58</v>
      </c>
    </row>
    <row r="26" spans="1:6" x14ac:dyDescent="0.2">
      <c r="A26" s="2" t="s">
        <v>44</v>
      </c>
      <c r="B26" s="2" t="s">
        <v>7</v>
      </c>
      <c r="C26" s="9">
        <f>'Despesa - Access'!K10</f>
        <v>78154.39</v>
      </c>
    </row>
    <row r="27" spans="1:6" x14ac:dyDescent="0.2">
      <c r="A27" s="2" t="s">
        <v>45</v>
      </c>
      <c r="B27" s="2" t="s">
        <v>67</v>
      </c>
      <c r="C27" s="9">
        <f>'Despesa - Access'!K11</f>
        <v>116191.85</v>
      </c>
    </row>
    <row r="28" spans="1:6" x14ac:dyDescent="0.2">
      <c r="A28" s="2" t="s">
        <v>46</v>
      </c>
      <c r="B28" s="2" t="s">
        <v>8</v>
      </c>
      <c r="C28" s="9">
        <f>'Despesa - Access'!K12</f>
        <v>2147396.7599999998</v>
      </c>
    </row>
    <row r="29" spans="1:6" x14ac:dyDescent="0.2">
      <c r="A29" s="2" t="s">
        <v>47</v>
      </c>
      <c r="B29" s="2" t="s">
        <v>9</v>
      </c>
      <c r="C29" s="9">
        <f>'Despesa - Access'!K13</f>
        <v>2491526.56</v>
      </c>
    </row>
    <row r="30" spans="1:6" x14ac:dyDescent="0.2">
      <c r="A30" s="2" t="s">
        <v>48</v>
      </c>
      <c r="B30" s="2" t="s">
        <v>10</v>
      </c>
      <c r="C30" s="9">
        <f>'Despesa - Access'!K14</f>
        <v>163443.19</v>
      </c>
    </row>
    <row r="31" spans="1:6" x14ac:dyDescent="0.2">
      <c r="A31" s="2" t="s">
        <v>49</v>
      </c>
      <c r="B31" s="2" t="s">
        <v>11</v>
      </c>
      <c r="C31" s="9">
        <f>'Despesa - Access'!K15</f>
        <v>565462.92000000004</v>
      </c>
    </row>
    <row r="32" spans="1:6" x14ac:dyDescent="0.2">
      <c r="A32" s="2" t="s">
        <v>50</v>
      </c>
      <c r="B32" s="2" t="s">
        <v>12</v>
      </c>
      <c r="C32" s="9">
        <f>'Despesa - Access'!K16</f>
        <v>51721.59</v>
      </c>
    </row>
    <row r="33" spans="1:5" x14ac:dyDescent="0.2">
      <c r="A33" s="2" t="s">
        <v>51</v>
      </c>
      <c r="B33" s="2" t="s">
        <v>13</v>
      </c>
      <c r="C33" s="9">
        <f>'Despesa - Access'!K17</f>
        <v>308208.88</v>
      </c>
    </row>
    <row r="34" spans="1:5" ht="63.75" x14ac:dyDescent="0.2">
      <c r="A34" s="6" t="s">
        <v>52</v>
      </c>
      <c r="B34" s="7" t="s">
        <v>268</v>
      </c>
      <c r="C34" s="9">
        <f>'Despesa - Access'!K18</f>
        <v>705736.65</v>
      </c>
    </row>
    <row r="35" spans="1:5" x14ac:dyDescent="0.2">
      <c r="A35" s="2" t="s">
        <v>53</v>
      </c>
      <c r="B35" s="2" t="s">
        <v>14</v>
      </c>
      <c r="C35" s="9">
        <f>'Despesa - Access'!K19</f>
        <v>997538.38</v>
      </c>
    </row>
    <row r="36" spans="1:5" x14ac:dyDescent="0.2">
      <c r="A36" s="2" t="s">
        <v>54</v>
      </c>
      <c r="B36" s="2" t="s">
        <v>259</v>
      </c>
      <c r="C36" s="9">
        <f>'Despesa - Access'!K20</f>
        <v>4011099.89</v>
      </c>
    </row>
    <row r="37" spans="1:5" x14ac:dyDescent="0.2">
      <c r="A37" s="2" t="s">
        <v>55</v>
      </c>
      <c r="B37" s="2" t="s">
        <v>15</v>
      </c>
      <c r="C37" s="9">
        <f>'Despesa - Access'!K21</f>
        <v>8142.24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1703387.58</v>
      </c>
    </row>
    <row r="39" spans="1:5" x14ac:dyDescent="0.2">
      <c r="A39" s="2" t="s">
        <v>57</v>
      </c>
      <c r="B39" s="2" t="s">
        <v>16</v>
      </c>
      <c r="C39" s="9">
        <f>'Despesa - Access'!K23</f>
        <v>251733.62</v>
      </c>
    </row>
    <row r="40" spans="1:5" x14ac:dyDescent="0.2">
      <c r="A40" s="2" t="s">
        <v>58</v>
      </c>
      <c r="B40" s="2" t="s">
        <v>17</v>
      </c>
      <c r="C40" s="9">
        <f>'Despesa - Access'!K24</f>
        <v>513.49</v>
      </c>
    </row>
    <row r="41" spans="1:5" x14ac:dyDescent="0.2">
      <c r="A41" s="2" t="s">
        <v>59</v>
      </c>
      <c r="B41" s="2" t="s">
        <v>18</v>
      </c>
      <c r="C41" s="9">
        <f>'Despesa - Access'!K25</f>
        <v>137388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15385.33</v>
      </c>
    </row>
    <row r="44" spans="1:5" x14ac:dyDescent="0.2">
      <c r="A44" s="2" t="s">
        <v>62</v>
      </c>
      <c r="B44" s="2" t="s">
        <v>21</v>
      </c>
      <c r="C44" s="9">
        <f>'Despesa - Access'!K28</f>
        <v>50100.6</v>
      </c>
    </row>
    <row r="45" spans="1:5" x14ac:dyDescent="0.2">
      <c r="A45" s="2" t="s">
        <v>63</v>
      </c>
      <c r="B45" s="2" t="s">
        <v>69</v>
      </c>
      <c r="C45" s="9">
        <f>'Despesa - Access'!K29</f>
        <v>122973.29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5654663.0899999999</v>
      </c>
    </row>
    <row r="48" spans="1:5" x14ac:dyDescent="0.2">
      <c r="A48" s="162" t="s">
        <v>70</v>
      </c>
      <c r="B48" s="162"/>
      <c r="C48" s="10">
        <f>SUM(C22:C47)</f>
        <v>26508714.959999997</v>
      </c>
      <c r="D48" s="8">
        <v>26508714.960000001</v>
      </c>
      <c r="E48" s="8">
        <f>D48-C48</f>
        <v>0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2" t="s">
        <v>70</v>
      </c>
      <c r="B58" s="162"/>
      <c r="C58" s="10">
        <f>SUM(C53:C57)</f>
        <v>0</v>
      </c>
      <c r="D58" s="32">
        <v>0</v>
      </c>
      <c r="E58" s="8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4" x14ac:dyDescent="0.2">
      <c r="A65" s="162" t="s">
        <v>70</v>
      </c>
      <c r="B65" s="162"/>
      <c r="C65" s="10">
        <f>SUM(C63:C64)</f>
        <v>0</v>
      </c>
      <c r="D65">
        <v>0</v>
      </c>
    </row>
    <row r="66" spans="1:4" x14ac:dyDescent="0.2">
      <c r="A66" s="163"/>
      <c r="B66" s="163"/>
      <c r="C66" s="163"/>
    </row>
    <row r="67" spans="1:4" x14ac:dyDescent="0.2">
      <c r="A67" s="4" t="s">
        <v>73</v>
      </c>
    </row>
    <row r="69" spans="1:4" x14ac:dyDescent="0.2">
      <c r="A69" s="3" t="s">
        <v>38</v>
      </c>
      <c r="B69" s="3" t="s">
        <v>39</v>
      </c>
      <c r="C69" s="11" t="s">
        <v>265</v>
      </c>
    </row>
    <row r="70" spans="1:4" x14ac:dyDescent="0.2">
      <c r="A70" s="2" t="s">
        <v>40</v>
      </c>
      <c r="B70" s="2" t="s">
        <v>74</v>
      </c>
      <c r="C70" s="9">
        <f>'Financeiro - Access'!K2</f>
        <v>107595063.54000001</v>
      </c>
    </row>
    <row r="71" spans="1:4" x14ac:dyDescent="0.2">
      <c r="A71" s="2" t="s">
        <v>41</v>
      </c>
      <c r="B71" s="2" t="s">
        <v>75</v>
      </c>
      <c r="C71" s="9">
        <f>'Financeiro - Access'!K3</f>
        <v>27302593.989999998</v>
      </c>
    </row>
    <row r="72" spans="1:4" x14ac:dyDescent="0.2">
      <c r="A72" s="2" t="s">
        <v>42</v>
      </c>
      <c r="B72" s="2" t="s">
        <v>175</v>
      </c>
      <c r="C72" s="9">
        <f>'Financeiro - Access'!K4</f>
        <v>0</v>
      </c>
    </row>
    <row r="73" spans="1:4" x14ac:dyDescent="0.2">
      <c r="A73" s="2" t="s">
        <v>43</v>
      </c>
      <c r="B73" s="2" t="s">
        <v>260</v>
      </c>
      <c r="C73" s="9">
        <f>'Financeiro - Access'!K5</f>
        <v>0</v>
      </c>
    </row>
    <row r="74" spans="1:4" x14ac:dyDescent="0.2">
      <c r="A74" s="162" t="s">
        <v>70</v>
      </c>
      <c r="B74" s="162"/>
      <c r="C74" s="10">
        <f>SUM(C70:C73)</f>
        <v>134897657.53</v>
      </c>
    </row>
    <row r="76" spans="1:4" x14ac:dyDescent="0.2">
      <c r="A76" s="4" t="s">
        <v>244</v>
      </c>
    </row>
    <row r="78" spans="1:4" x14ac:dyDescent="0.2">
      <c r="A78" s="3" t="s">
        <v>38</v>
      </c>
      <c r="B78" s="3" t="s">
        <v>39</v>
      </c>
      <c r="C78" s="11" t="s">
        <v>265</v>
      </c>
    </row>
    <row r="79" spans="1:4" x14ac:dyDescent="0.2">
      <c r="A79" s="2" t="s">
        <v>40</v>
      </c>
      <c r="B79" s="2" t="s">
        <v>261</v>
      </c>
      <c r="C79" s="9"/>
    </row>
    <row r="80" spans="1:4" x14ac:dyDescent="0.2">
      <c r="A80" s="2" t="s">
        <v>41</v>
      </c>
      <c r="B80" s="2" t="s">
        <v>262</v>
      </c>
      <c r="C80" s="9"/>
    </row>
    <row r="81" spans="1:9" x14ac:dyDescent="0.2">
      <c r="A81" s="2" t="s">
        <v>42</v>
      </c>
      <c r="B81" s="2" t="s">
        <v>263</v>
      </c>
      <c r="C81" s="9"/>
    </row>
    <row r="82" spans="1:9" x14ac:dyDescent="0.2">
      <c r="A82" s="2" t="s">
        <v>43</v>
      </c>
      <c r="B82" s="2" t="s">
        <v>76</v>
      </c>
      <c r="C82" s="9"/>
    </row>
    <row r="83" spans="1:9" x14ac:dyDescent="0.2">
      <c r="A83" s="162" t="s">
        <v>70</v>
      </c>
      <c r="B83" s="162"/>
      <c r="C83" s="10">
        <f>SUM(C79:C82)</f>
        <v>0</v>
      </c>
    </row>
    <row r="84" spans="1:9" x14ac:dyDescent="0.2">
      <c r="A84" s="174" t="s">
        <v>315</v>
      </c>
      <c r="B84" s="174"/>
      <c r="C84" s="174"/>
    </row>
    <row r="85" spans="1:9" x14ac:dyDescent="0.2">
      <c r="A85" s="175"/>
      <c r="B85" s="175"/>
      <c r="C85" s="175"/>
    </row>
    <row r="86" spans="1:9" x14ac:dyDescent="0.2">
      <c r="A86" s="175"/>
      <c r="B86" s="175"/>
      <c r="C86" s="175"/>
    </row>
    <row r="87" spans="1:9" x14ac:dyDescent="0.2">
      <c r="E87" s="89"/>
    </row>
    <row r="88" spans="1:9" x14ac:dyDescent="0.2">
      <c r="E88" s="120"/>
    </row>
    <row r="89" spans="1:9" x14ac:dyDescent="0.2">
      <c r="A89" s="180" t="s">
        <v>98</v>
      </c>
      <c r="B89" s="180"/>
      <c r="C89" s="110" t="s">
        <v>413</v>
      </c>
      <c r="D89" s="154" t="s">
        <v>397</v>
      </c>
      <c r="E89" s="152" t="s">
        <v>398</v>
      </c>
    </row>
    <row r="90" spans="1:9" x14ac:dyDescent="0.2">
      <c r="A90" s="181" t="s">
        <v>396</v>
      </c>
      <c r="B90" s="181"/>
      <c r="C90" s="115">
        <v>945277271.44000006</v>
      </c>
      <c r="D90" s="135">
        <v>811267747.09000003</v>
      </c>
      <c r="E90" s="115">
        <f>+C90-D90</f>
        <v>134009524.35000002</v>
      </c>
    </row>
    <row r="91" spans="1:9" x14ac:dyDescent="0.2">
      <c r="A91" s="168" t="s">
        <v>399</v>
      </c>
      <c r="B91" s="168"/>
      <c r="C91" s="115"/>
      <c r="D91" s="135"/>
      <c r="E91" s="115">
        <f>+C17+C48+C58+C65</f>
        <v>134279363.78</v>
      </c>
    </row>
    <row r="92" spans="1:9" x14ac:dyDescent="0.2">
      <c r="A92" s="167" t="s">
        <v>392</v>
      </c>
      <c r="B92" s="167"/>
      <c r="C92" s="115"/>
      <c r="D92" s="135"/>
      <c r="E92" s="115">
        <f>+E91-E90</f>
        <v>269839.42999997735</v>
      </c>
      <c r="G92" s="125" t="s">
        <v>400</v>
      </c>
      <c r="I92" s="153" t="s">
        <v>394</v>
      </c>
    </row>
    <row r="93" spans="1:9" x14ac:dyDescent="0.2">
      <c r="A93" s="176"/>
      <c r="B93" s="177"/>
      <c r="C93" s="115"/>
      <c r="D93" s="135"/>
      <c r="E93" s="115"/>
    </row>
    <row r="94" spans="1:9" x14ac:dyDescent="0.2">
      <c r="A94" s="167" t="s">
        <v>401</v>
      </c>
      <c r="B94" s="167"/>
      <c r="C94" s="115"/>
      <c r="D94" s="135"/>
      <c r="E94" s="115">
        <f>107500809.39+26508714.96</f>
        <v>134009524.34999999</v>
      </c>
    </row>
    <row r="95" spans="1:9" x14ac:dyDescent="0.2">
      <c r="A95" s="167" t="s">
        <v>392</v>
      </c>
      <c r="B95" s="167"/>
      <c r="C95" s="149"/>
      <c r="D95" s="113"/>
      <c r="E95" s="150">
        <f>+E91-E94</f>
        <v>269839.43000000715</v>
      </c>
      <c r="G95" s="125" t="s">
        <v>400</v>
      </c>
      <c r="I95" t="s">
        <v>394</v>
      </c>
    </row>
    <row r="96" spans="1:9" x14ac:dyDescent="0.2">
      <c r="D96" s="32"/>
    </row>
    <row r="97" spans="1:5" x14ac:dyDescent="0.2">
      <c r="A97" s="164" t="s">
        <v>379</v>
      </c>
      <c r="B97" s="164"/>
      <c r="C97" s="164"/>
      <c r="D97" s="164"/>
      <c r="E97" s="164"/>
    </row>
    <row r="98" spans="1:5" x14ac:dyDescent="0.2">
      <c r="D98" s="89"/>
      <c r="E98" s="89"/>
    </row>
    <row r="99" spans="1:5" x14ac:dyDescent="0.2">
      <c r="A99" s="169" t="s">
        <v>403</v>
      </c>
      <c r="B99" s="166"/>
      <c r="C99" s="9">
        <v>983710236</v>
      </c>
      <c r="D99" s="120"/>
      <c r="E99" s="120"/>
    </row>
    <row r="100" spans="1:5" x14ac:dyDescent="0.2">
      <c r="A100" s="170" t="s">
        <v>404</v>
      </c>
      <c r="B100" s="166"/>
      <c r="C100" s="9">
        <f>C74</f>
        <v>134897657.53</v>
      </c>
      <c r="D100" s="120"/>
      <c r="E100" s="120"/>
    </row>
    <row r="101" spans="1:5" x14ac:dyDescent="0.2">
      <c r="A101" s="165"/>
      <c r="B101" s="166"/>
      <c r="C101" s="9">
        <f>+C99-C100</f>
        <v>848812578.47000003</v>
      </c>
      <c r="D101" s="151"/>
      <c r="E101" s="120"/>
    </row>
    <row r="102" spans="1:5" x14ac:dyDescent="0.2">
      <c r="A102" s="170" t="s">
        <v>405</v>
      </c>
      <c r="B102" s="171"/>
      <c r="C102" s="9">
        <v>848812578.47000003</v>
      </c>
    </row>
    <row r="103" spans="1:5" x14ac:dyDescent="0.2">
      <c r="A103" s="167" t="s">
        <v>392</v>
      </c>
      <c r="B103" s="168"/>
      <c r="C103" s="9">
        <f>C101-C102</f>
        <v>0</v>
      </c>
    </row>
  </sheetData>
  <mergeCells count="30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97:E97"/>
    <mergeCell ref="A91:B91"/>
    <mergeCell ref="A92:B92"/>
    <mergeCell ref="A74:B74"/>
    <mergeCell ref="A86:C86"/>
    <mergeCell ref="A85:C85"/>
    <mergeCell ref="A83:B83"/>
    <mergeCell ref="A84:C84"/>
    <mergeCell ref="A89:B89"/>
    <mergeCell ref="A90:B90"/>
    <mergeCell ref="A93:B93"/>
    <mergeCell ref="A94:B94"/>
    <mergeCell ref="A95:B95"/>
    <mergeCell ref="A101:B101"/>
    <mergeCell ref="A102:B102"/>
    <mergeCell ref="A103:B103"/>
    <mergeCell ref="A99:B99"/>
    <mergeCell ref="A100:B10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356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8" t="s">
        <v>362</v>
      </c>
      <c r="C7" s="158"/>
    </row>
    <row r="8" spans="1:3" x14ac:dyDescent="0.2">
      <c r="A8" s="2" t="s">
        <v>37</v>
      </c>
      <c r="B8" s="159">
        <v>42998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258</v>
      </c>
      <c r="C15" s="10">
        <f>'Despesa - Access'!L4</f>
        <v>0</v>
      </c>
    </row>
    <row r="16" spans="1:3" ht="51" x14ac:dyDescent="0.2">
      <c r="A16" s="6" t="s">
        <v>43</v>
      </c>
      <c r="B16" s="5" t="s">
        <v>266</v>
      </c>
      <c r="C16" s="10">
        <v>826.84</v>
      </c>
    </row>
    <row r="17" spans="1:5" x14ac:dyDescent="0.2">
      <c r="A17" s="162" t="s">
        <v>70</v>
      </c>
      <c r="B17" s="162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267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259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62" t="s">
        <v>70</v>
      </c>
      <c r="B48" s="162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62" t="s">
        <v>70</v>
      </c>
      <c r="B58" s="162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2" t="s">
        <v>70</v>
      </c>
      <c r="B65" s="162"/>
      <c r="C65" s="10">
        <f>SUM(C63:C64)</f>
        <v>0</v>
      </c>
    </row>
    <row r="66" spans="1:3" x14ac:dyDescent="0.2">
      <c r="A66" s="163"/>
      <c r="B66" s="163"/>
      <c r="C66" s="163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175</v>
      </c>
      <c r="C72" s="9">
        <f>'Financeiro - Access'!L4</f>
        <v>0</v>
      </c>
    </row>
    <row r="73" spans="1:3" x14ac:dyDescent="0.2">
      <c r="A73" s="2" t="s">
        <v>43</v>
      </c>
      <c r="B73" s="2" t="s">
        <v>260</v>
      </c>
      <c r="C73" s="9">
        <f>'Financeiro - Access'!L5</f>
        <v>0</v>
      </c>
    </row>
    <row r="74" spans="1:3" x14ac:dyDescent="0.2">
      <c r="A74" s="162" t="s">
        <v>70</v>
      </c>
      <c r="B74" s="162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2" t="s">
        <v>70</v>
      </c>
      <c r="B83" s="162"/>
      <c r="C83" s="10">
        <f>SUM(C79:C82)</f>
        <v>0</v>
      </c>
    </row>
    <row r="84" spans="1:7" x14ac:dyDescent="0.2">
      <c r="A84" s="174" t="s">
        <v>315</v>
      </c>
      <c r="B84" s="174"/>
      <c r="C84" s="174"/>
    </row>
    <row r="85" spans="1:7" x14ac:dyDescent="0.2">
      <c r="A85" s="175" t="s">
        <v>365</v>
      </c>
      <c r="B85" s="175"/>
      <c r="C85" s="175"/>
    </row>
    <row r="87" spans="1:7" x14ac:dyDescent="0.2">
      <c r="A87" s="164" t="s">
        <v>98</v>
      </c>
      <c r="B87" s="164"/>
      <c r="C87" s="164"/>
      <c r="D87" s="164"/>
      <c r="E87" s="164"/>
    </row>
    <row r="88" spans="1:7" x14ac:dyDescent="0.2">
      <c r="A88" s="104"/>
      <c r="B88" s="104"/>
      <c r="C88" s="104"/>
    </row>
    <row r="89" spans="1:7" x14ac:dyDescent="0.2">
      <c r="C89" s="11" t="s">
        <v>104</v>
      </c>
      <c r="D89" s="114" t="s">
        <v>103</v>
      </c>
      <c r="E89" s="114" t="s">
        <v>70</v>
      </c>
    </row>
    <row r="90" spans="1:7" x14ac:dyDescent="0.2">
      <c r="A90" s="165"/>
      <c r="B90" s="166"/>
      <c r="C90" s="9">
        <v>0</v>
      </c>
      <c r="D90" s="115" t="e">
        <f>'Anexo I - Jan'!#REF!</f>
        <v>#REF!</v>
      </c>
      <c r="E90" s="115" t="e">
        <f>C90-D90</f>
        <v>#REF!</v>
      </c>
    </row>
    <row r="91" spans="1:7" x14ac:dyDescent="0.2">
      <c r="A91" s="165" t="s">
        <v>355</v>
      </c>
      <c r="B91" s="166"/>
      <c r="C91" s="9">
        <v>1011400430.86</v>
      </c>
      <c r="D91" s="115" t="e">
        <f>'Anexo I - Jul'!#REF!</f>
        <v>#REF!</v>
      </c>
      <c r="E91" s="115" t="e">
        <f>C91-D91</f>
        <v>#REF!</v>
      </c>
    </row>
    <row r="92" spans="1:7" x14ac:dyDescent="0.2">
      <c r="A92" s="165" t="s">
        <v>121</v>
      </c>
      <c r="B92" s="166"/>
      <c r="C92" s="9">
        <v>0</v>
      </c>
      <c r="D92" s="115" t="e">
        <f>'Anexo I - Jan'!#REF!</f>
        <v>#REF!</v>
      </c>
      <c r="E92" s="115" t="e">
        <f>C92-D92</f>
        <v>#REF!</v>
      </c>
    </row>
    <row r="93" spans="1:7" x14ac:dyDescent="0.2">
      <c r="A93" s="160" t="s">
        <v>96</v>
      </c>
      <c r="B93" s="160"/>
      <c r="C93" s="160"/>
      <c r="D93" s="160"/>
      <c r="E93" s="116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0" t="s">
        <v>97</v>
      </c>
      <c r="B94" s="160"/>
      <c r="C94" s="160"/>
      <c r="D94" s="160"/>
      <c r="E94" s="116">
        <f>$C$17+$C$48+$C$58+$C$65</f>
        <v>826.84</v>
      </c>
    </row>
    <row r="96" spans="1:7" x14ac:dyDescent="0.2">
      <c r="D96" s="117" t="s">
        <v>270</v>
      </c>
      <c r="E96" s="118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19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314</v>
      </c>
    </row>
    <row r="101" spans="3:5" x14ac:dyDescent="0.2">
      <c r="D101" s="120"/>
      <c r="E101" s="120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E95" sqref="E9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1" t="s">
        <v>246</v>
      </c>
      <c r="B1" s="161"/>
      <c r="C1" s="161"/>
    </row>
    <row r="3" spans="1:3" x14ac:dyDescent="0.2">
      <c r="A3" s="2" t="s">
        <v>32</v>
      </c>
      <c r="B3" s="160" t="s">
        <v>247</v>
      </c>
      <c r="C3" s="160"/>
    </row>
    <row r="4" spans="1:3" x14ac:dyDescent="0.2">
      <c r="A4" s="2" t="s">
        <v>33</v>
      </c>
      <c r="B4" s="160" t="s">
        <v>248</v>
      </c>
      <c r="C4" s="160"/>
    </row>
    <row r="5" spans="1:3" x14ac:dyDescent="0.2">
      <c r="A5" s="2" t="s">
        <v>34</v>
      </c>
      <c r="B5" s="160" t="s">
        <v>356</v>
      </c>
      <c r="C5" s="160"/>
    </row>
    <row r="6" spans="1:3" x14ac:dyDescent="0.2">
      <c r="A6" s="2" t="s">
        <v>35</v>
      </c>
      <c r="B6" s="160" t="s">
        <v>249</v>
      </c>
      <c r="C6" s="160"/>
    </row>
    <row r="7" spans="1:3" x14ac:dyDescent="0.2">
      <c r="A7" s="2" t="s">
        <v>36</v>
      </c>
      <c r="B7" s="158" t="s">
        <v>363</v>
      </c>
      <c r="C7" s="158"/>
    </row>
    <row r="8" spans="1:3" x14ac:dyDescent="0.2">
      <c r="A8" s="2" t="s">
        <v>37</v>
      </c>
      <c r="B8" s="159">
        <v>43027</v>
      </c>
      <c r="C8" s="160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258</v>
      </c>
      <c r="C15" s="10">
        <f>'Despesa - Access'!M4</f>
        <v>0</v>
      </c>
    </row>
    <row r="16" spans="1:3" ht="51" x14ac:dyDescent="0.2">
      <c r="A16" s="6" t="s">
        <v>43</v>
      </c>
      <c r="B16" s="5" t="s">
        <v>266</v>
      </c>
      <c r="C16" s="10">
        <v>43023.23</v>
      </c>
    </row>
    <row r="17" spans="1:5" x14ac:dyDescent="0.2">
      <c r="A17" s="162" t="s">
        <v>70</v>
      </c>
      <c r="B17" s="162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267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259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2" t="s">
        <v>70</v>
      </c>
      <c r="B48" s="162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2" t="s">
        <v>70</v>
      </c>
      <c r="B58" s="162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2" t="s">
        <v>70</v>
      </c>
      <c r="B65" s="162"/>
      <c r="C65" s="10">
        <f>SUM(C63:C64)</f>
        <v>0</v>
      </c>
    </row>
    <row r="66" spans="1:5" x14ac:dyDescent="0.2">
      <c r="A66" s="163"/>
      <c r="B66" s="163"/>
      <c r="C66" s="163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265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175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260</v>
      </c>
      <c r="C73" s="9">
        <f>'Financeiro - Access'!M5</f>
        <v>0</v>
      </c>
      <c r="D73" s="89">
        <v>0</v>
      </c>
    </row>
    <row r="74" spans="1:5" x14ac:dyDescent="0.2">
      <c r="A74" s="162" t="s">
        <v>70</v>
      </c>
      <c r="B74" s="162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244</v>
      </c>
    </row>
    <row r="78" spans="1:5" x14ac:dyDescent="0.2">
      <c r="A78" s="3" t="s">
        <v>38</v>
      </c>
      <c r="B78" s="3" t="s">
        <v>39</v>
      </c>
      <c r="C78" s="11" t="s">
        <v>265</v>
      </c>
    </row>
    <row r="79" spans="1:5" x14ac:dyDescent="0.2">
      <c r="A79" s="2" t="s">
        <v>40</v>
      </c>
      <c r="B79" s="2" t="s">
        <v>261</v>
      </c>
      <c r="C79" s="9"/>
    </row>
    <row r="80" spans="1:5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2" t="s">
        <v>70</v>
      </c>
      <c r="B83" s="162"/>
      <c r="C83" s="10">
        <f>SUM(C79:C82)</f>
        <v>0</v>
      </c>
    </row>
    <row r="84" spans="1:7" x14ac:dyDescent="0.2">
      <c r="A84" s="174" t="s">
        <v>315</v>
      </c>
      <c r="B84" s="174"/>
      <c r="C84" s="174"/>
    </row>
    <row r="85" spans="1:7" x14ac:dyDescent="0.2">
      <c r="A85" t="s">
        <v>365</v>
      </c>
    </row>
    <row r="87" spans="1:7" x14ac:dyDescent="0.2">
      <c r="A87" s="164" t="s">
        <v>98</v>
      </c>
      <c r="B87" s="164"/>
      <c r="C87" s="164"/>
      <c r="D87" s="164"/>
      <c r="E87" s="164"/>
    </row>
    <row r="88" spans="1:7" x14ac:dyDescent="0.2">
      <c r="A88" s="105"/>
      <c r="B88" s="105"/>
      <c r="C88" s="105"/>
      <c r="D88"/>
      <c r="E88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65"/>
      <c r="B90" s="166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5" t="s">
        <v>355</v>
      </c>
      <c r="B91" s="166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65" t="s">
        <v>121</v>
      </c>
      <c r="B92" s="166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0" t="s">
        <v>96</v>
      </c>
      <c r="B93" s="160"/>
      <c r="C93" s="160"/>
      <c r="D93" s="160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0" t="s">
        <v>97</v>
      </c>
      <c r="B94" s="160"/>
      <c r="C94" s="160"/>
      <c r="D94" s="160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270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314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2018-08-20T19:20:26Z</cp:lastPrinted>
  <dcterms:created xsi:type="dcterms:W3CDTF">2010-03-11T09:53:57Z</dcterms:created>
  <dcterms:modified xsi:type="dcterms:W3CDTF">2018-08-20T19:21:21Z</dcterms:modified>
</cp:coreProperties>
</file>