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/>
  </bookViews>
  <sheets>
    <sheet name="Anexo I - Jan" sheetId="2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92" i="4" l="1"/>
  <c r="C91" i="4"/>
  <c r="E96" i="4" l="1"/>
  <c r="D48" i="4" l="1"/>
  <c r="D17" i="4" l="1"/>
  <c r="G58" i="4"/>
  <c r="G48" i="4"/>
  <c r="F35" i="4"/>
  <c r="G17" i="4"/>
  <c r="D48" i="12" l="1"/>
  <c r="E97" i="5" l="1"/>
  <c r="D48" i="5"/>
  <c r="E98" i="6" l="1"/>
  <c r="D48" i="6"/>
  <c r="E98" i="7" l="1"/>
  <c r="D48" i="7"/>
  <c r="D48" i="8" l="1"/>
  <c r="E97" i="8" l="1"/>
  <c r="C16" i="9" l="1"/>
  <c r="E97" i="9" l="1"/>
  <c r="D48" i="9" l="1"/>
  <c r="D48" i="10" l="1"/>
  <c r="D17" i="10"/>
  <c r="E97" i="10"/>
  <c r="C16" i="10"/>
  <c r="D48" i="11" l="1"/>
  <c r="D17" i="11"/>
  <c r="E97" i="11"/>
  <c r="C93" i="11"/>
  <c r="C92" i="11"/>
  <c r="E98" i="12" l="1"/>
  <c r="H40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48" i="12" s="1"/>
  <c r="E98" i="13"/>
  <c r="C93" i="13"/>
  <c r="D93" i="13"/>
  <c r="D48" i="13"/>
  <c r="D17" i="13"/>
  <c r="D48" i="3" l="1"/>
  <c r="D17" i="3"/>
  <c r="C94" i="12" l="1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3" i="5" l="1"/>
  <c r="D92" i="5"/>
  <c r="D91" i="5"/>
  <c r="E91" i="5" s="1"/>
  <c r="E93" i="5" l="1"/>
  <c r="E92" i="5"/>
  <c r="D94" i="6"/>
  <c r="D93" i="6"/>
  <c r="E93" i="6" s="1"/>
  <c r="D92" i="6"/>
  <c r="E92" i="6" s="1"/>
  <c r="E94" i="5" l="1"/>
  <c r="E94" i="6"/>
  <c r="E95" i="6" s="1"/>
  <c r="D94" i="7"/>
  <c r="E94" i="7" s="1"/>
  <c r="D93" i="7"/>
  <c r="D92" i="7"/>
  <c r="E92" i="7" s="1"/>
  <c r="E93" i="7" l="1"/>
  <c r="E95" i="7" s="1"/>
  <c r="D93" i="8"/>
  <c r="E93" i="8" s="1"/>
  <c r="D92" i="8"/>
  <c r="E92" i="8" s="1"/>
  <c r="D91" i="8"/>
  <c r="E91" i="8" s="1"/>
  <c r="E94" i="8" l="1"/>
  <c r="D93" i="9"/>
  <c r="D92" i="9"/>
  <c r="D91" i="9"/>
  <c r="E91" i="9" s="1"/>
  <c r="E93" i="9" l="1"/>
  <c r="E92" i="9"/>
  <c r="D93" i="10"/>
  <c r="E93" i="10" s="1"/>
  <c r="D92" i="10"/>
  <c r="E92" i="10" s="1"/>
  <c r="D91" i="10"/>
  <c r="E91" i="10" s="1"/>
  <c r="E94" i="9" l="1"/>
  <c r="E94" i="10"/>
  <c r="D93" i="11"/>
  <c r="E93" i="11" s="1"/>
  <c r="D92" i="11"/>
  <c r="E92" i="11" s="1"/>
  <c r="E91" i="11"/>
  <c r="E94" i="11" l="1"/>
  <c r="E92" i="12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D94" i="12"/>
  <c r="E94" i="12" s="1"/>
  <c r="D93" i="12"/>
  <c r="E93" i="12" s="1"/>
  <c r="C48" i="13" l="1"/>
  <c r="E48" i="13" s="1"/>
  <c r="E95" i="12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E48" i="5" s="1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E17" i="12" s="1"/>
  <c r="C58" i="12"/>
  <c r="E58" i="12" s="1"/>
  <c r="C65" i="12"/>
  <c r="C83" i="12"/>
  <c r="C48" i="8"/>
  <c r="E48" i="8" s="1"/>
  <c r="C17" i="8"/>
  <c r="E17" i="8" s="1"/>
  <c r="C58" i="8"/>
  <c r="E58" i="8" s="1"/>
  <c r="C65" i="8"/>
  <c r="C83" i="8"/>
  <c r="C48" i="4"/>
  <c r="C58" i="4"/>
  <c r="C65" i="4"/>
  <c r="C74" i="4"/>
  <c r="C83" i="4"/>
  <c r="C74" i="3"/>
  <c r="C83" i="3"/>
  <c r="B6" i="3"/>
  <c r="B4" i="3"/>
  <c r="C74" i="2"/>
  <c r="C83" i="2"/>
  <c r="C74" i="13"/>
  <c r="C74" i="11"/>
  <c r="C74" i="10"/>
  <c r="C74" i="9"/>
  <c r="C74" i="7"/>
  <c r="E74" i="7" s="1"/>
  <c r="C74" i="6"/>
  <c r="C17" i="9"/>
  <c r="E17" i="9" s="1"/>
  <c r="C48" i="9"/>
  <c r="E48" i="9" s="1"/>
  <c r="C58" i="9"/>
  <c r="C65" i="9"/>
  <c r="C83" i="9"/>
  <c r="C65" i="10"/>
  <c r="C17" i="10"/>
  <c r="C48" i="10"/>
  <c r="E48" i="10" s="1"/>
  <c r="C58" i="10"/>
  <c r="E58" i="10" s="1"/>
  <c r="C83" i="10"/>
  <c r="C17" i="11"/>
  <c r="E17" i="11" s="1"/>
  <c r="C48" i="11"/>
  <c r="E48" i="11" s="1"/>
  <c r="C58" i="11"/>
  <c r="E58" i="11" s="1"/>
  <c r="C65" i="11"/>
  <c r="C83" i="11"/>
  <c r="C83" i="13"/>
  <c r="E17" i="5"/>
  <c r="C65" i="5"/>
  <c r="C83" i="5"/>
  <c r="C58" i="6"/>
  <c r="C17" i="6"/>
  <c r="E17" i="6" s="1"/>
  <c r="C48" i="6"/>
  <c r="C65" i="6"/>
  <c r="C83" i="6"/>
  <c r="C58" i="17"/>
  <c r="C17" i="17"/>
  <c r="C48" i="17"/>
  <c r="C65" i="17"/>
  <c r="C58" i="7"/>
  <c r="E58" i="7" s="1"/>
  <c r="C48" i="7"/>
  <c r="E48" i="7" s="1"/>
  <c r="C17" i="7"/>
  <c r="E17" i="7" s="1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E95" i="10" l="1"/>
  <c r="E99" i="10" s="1"/>
  <c r="E17" i="10"/>
  <c r="C71" i="17"/>
  <c r="E95" i="5"/>
  <c r="E98" i="5" s="1"/>
  <c r="E94" i="4"/>
  <c r="E96" i="6"/>
  <c r="E95" i="9"/>
  <c r="E99" i="9" s="1"/>
  <c r="E96" i="7"/>
  <c r="E95" i="8"/>
  <c r="E95" i="11"/>
  <c r="E99" i="11" s="1"/>
  <c r="E96" i="12"/>
  <c r="C65" i="13"/>
  <c r="C65" i="2"/>
  <c r="C58" i="13"/>
  <c r="C65" i="3"/>
  <c r="C58" i="2"/>
  <c r="C48" i="3"/>
  <c r="D49" i="3" s="1"/>
  <c r="C17" i="2"/>
  <c r="C48" i="2"/>
  <c r="C17" i="3"/>
  <c r="D18" i="3" s="1"/>
  <c r="C58" i="3"/>
  <c r="D59" i="3" s="1"/>
  <c r="E98" i="4" l="1"/>
  <c r="D71" i="17"/>
  <c r="E98" i="9"/>
  <c r="E99" i="5"/>
  <c r="E97" i="4"/>
  <c r="E100" i="6"/>
  <c r="E99" i="6"/>
  <c r="E99" i="7"/>
  <c r="E100" i="7"/>
  <c r="E98" i="8"/>
  <c r="E99" i="8"/>
  <c r="E98" i="10"/>
  <c r="E98" i="11"/>
  <c r="E99" i="12"/>
  <c r="E100" i="12"/>
  <c r="E96" i="13"/>
  <c r="E100" i="13" s="1"/>
  <c r="E95" i="3"/>
  <c r="E98" i="3" s="1"/>
  <c r="E99" i="3" l="1"/>
  <c r="E99" i="13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6\UG 090029 - TRF\Restos a Pagar TRF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6\UG 090055 - EMAG\Restos a Pagar EMAG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<sst xmlns="http://schemas.openxmlformats.org/spreadsheetml/2006/main" count="2921" uniqueCount="377">
  <si>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</si>
  <si>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</si>
  <si>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</si>
  <si>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</si>
  <si>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</si>
  <si>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</si>
  <si>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</si>
  <si>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</si>
  <si>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</si>
  <si>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</si>
  <si>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</si>
  <si>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</si>
  <si>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</si>
  <si>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</si>
  <si>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</si>
  <si>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</si>
  <si>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</si>
  <si>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</si>
  <si>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</si>
  <si>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</si>
  <si>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</si>
  <si>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</si>
  <si>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</si>
  <si>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</si>
  <si>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</si>
  <si>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</si>
  <si>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</si>
  <si>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</si>
  <si>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</si>
  <si>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</si>
  <si>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</si>
  <si>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</si>
  <si>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</si>
  <si>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</si>
  <si>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</si>
  <si>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</si>
  <si>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</si>
  <si>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</si>
  <si>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</si>
  <si>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</si>
  <si>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</si>
  <si>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</si>
  <si>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</si>
  <si>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</si>
  <si>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</si>
  <si>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</si>
  <si>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</si>
  <si>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</si>
  <si>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</si>
  <si>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</si>
  <si>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</si>
  <si>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</si>
  <si>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</si>
  <si>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</si>
  <si>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</si>
  <si>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</si>
  <si>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</si>
  <si>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</si>
  <si>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</si>
  <si>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</si>
  <si>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</si>
  <si>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</si>
  <si>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</si>
  <si>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</si>
  <si>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</si>
  <si>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</si>
  <si>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</si>
  <si>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</si>
  <si>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</si>
  <si>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</si>
  <si>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</si>
  <si>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</si>
  <si>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</si>
  <si>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</si>
  <si>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</si>
  <si>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</si>
  <si>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</si>
  <si>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</si>
  <si>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</si>
  <si>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</si>
  <si>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</si>
  <si>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</si>
  <si>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</si>
  <si>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</si>
  <si>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</si>
  <si>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</si>
  <si>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</si>
  <si>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</si>
  <si>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</si>
  <si>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</si>
  <si>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</si>
  <si>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</si>
  <si>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</si>
  <si>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</si>
  <si>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</si>
  <si>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</si>
  <si>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</si>
  <si>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</si>
  <si>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</si>
  <si>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</si>
  <si>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</si>
  <si>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</si>
  <si>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</si>
  <si>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</si>
  <si>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</si>
  <si>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</si>
  <si>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</si>
  <si>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</si>
  <si>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</si>
  <si>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</si>
  <si>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</si>
  <si>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</si>
  <si>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</si>
  <si>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</si>
  <si>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</si>
  <si>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</si>
  <si>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</si>
  <si>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</si>
  <si>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</si>
  <si>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</si>
  <si>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</si>
  <si>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</si>
  <si>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</si>
  <si>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</si>
  <si>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</si>
  <si>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</si>
  <si>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</si>
  <si>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</si>
  <si>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</si>
  <si>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</si>
  <si>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</si>
  <si>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</si>
  <si>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</si>
  <si>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</si>
  <si>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</si>
  <si>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</si>
  <si>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</si>
  <si>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</si>
  <si>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</si>
  <si>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</si>
  <si>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</si>
  <si>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</si>
  <si>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</si>
  <si>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</si>
  <si>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</si>
  <si>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</si>
  <si>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</si>
  <si>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</si>
  <si>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</si>
  <si>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</si>
  <si>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</si>
  <si>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</si>
  <si>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</si>
  <si>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</si>
  <si>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</si>
  <si>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</si>
  <si>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</si>
  <si>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</si>
  <si>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</si>
  <si>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</si>
  <si>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</si>
  <si>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</si>
  <si>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</si>
  <si>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</si>
  <si>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</si>
  <si>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</si>
  <si>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</si>
  <si>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</si>
  <si>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</si>
  <si>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</si>
  <si>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</si>
  <si>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</si>
  <si>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</si>
  <si>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</si>
  <si>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</si>
  <si>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</si>
  <si>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</si>
  <si>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</si>
  <si>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</si>
  <si>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</si>
  <si>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</si>
  <si>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</si>
  <si>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</si>
  <si>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</si>
  <si>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</si>
  <si>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</si>
  <si>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</si>
  <si>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</si>
  <si>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</si>
  <si>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</si>
  <si>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</si>
  <si>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</si>
  <si>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</si>
  <si>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</si>
  <si>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</si>
  <si>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</si>
  <si>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</si>
  <si>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</si>
  <si>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</si>
  <si>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</si>
  <si>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</si>
  <si>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</si>
  <si>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</si>
  <si>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</si>
  <si>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</si>
  <si>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</si>
  <si>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</si>
  <si>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</si>
  <si>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</si>
  <si>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</si>
  <si>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</si>
  <si>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</si>
  <si>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</si>
  <si>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</si>
  <si>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</si>
  <si>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</si>
  <si>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</si>
  <si>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</si>
  <si>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</si>
  <si>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</si>
  <si>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</si>
  <si>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</si>
  <si>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</si>
  <si>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</si>
  <si>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</si>
  <si>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</si>
  <si>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</si>
  <si>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</si>
  <si>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</si>
  <si>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</si>
  <si>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</si>
  <si>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</si>
  <si>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</si>
  <si>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</si>
  <si>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</si>
  <si>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</si>
  <si>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</si>
  <si>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</si>
  <si>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</si>
  <si>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</si>
  <si>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</si>
  <si>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</si>
  <si>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</si>
  <si>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</si>
  <si>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</si>
  <si>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</si>
  <si>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</si>
  <si>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</si>
  <si>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</si>
  <si>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</si>
  <si>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</si>
  <si>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</si>
  <si>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</si>
  <si>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</si>
  <si>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</si>
  <si>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</si>
  <si>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</si>
  <si>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</si>
  <si>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</si>
  <si>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</si>
  <si>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</si>
  <si>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</si>
  <si>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</si>
  <si>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</si>
  <si>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</si>
  <si>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</si>
  <si>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</si>
  <si>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</si>
  <si>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</si>
  <si>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</si>
  <si>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</si>
  <si>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</si>
  <si>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</si>
  <si>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</si>
  <si>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</si>
  <si>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</si>
  <si>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</si>
  <si>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</si>
  <si>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</si>
  <si>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</si>
  <si>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</si>
  <si>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</si>
  <si>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</si>
  <si>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</si>
  <si>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</si>
  <si>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</si>
  <si>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</si>
  <si>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</si>
  <si>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</si>
  <si>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</si>
  <si>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</si>
  <si>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</si>
  <si>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</si>
  <si>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</si>
  <si>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</si>
  <si>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</si>
  <si>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</si>
  <si>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</si>
  <si>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</si>
  <si>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</si>
  <si>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</si>
  <si>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</si>
  <si>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</si>
  <si>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</si>
  <si>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</si>
  <si>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</si>
  <si>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</si>
  <si>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</si>
  <si>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</si>
  <si>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</si>
  <si>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</si>
  <si>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</si>
  <si>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</si>
  <si>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</si>
  <si>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</si>
  <si>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</si>
  <si>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</si>
  <si>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</si>
  <si>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</si>
  <si>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</si>
  <si>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</si>
  <si>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</si>
  <si>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</si>
  <si>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</si>
  <si>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</si>
  <si>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</si>
  <si>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</si>
  <si>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</si>
  <si>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</si>
  <si>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</si>
  <si>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</si>
  <si>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</si>
  <si>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</si>
  <si>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</si>
  <si>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</si>
  <si>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</si>
  <si>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</si>
  <si>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</si>
  <si>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</si>
  <si>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</si>
  <si>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</si>
  <si>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12/2016</t>
  </si>
  <si>
    <t>2016 13/01/2017</t>
  </si>
  <si>
    <t>Em Dezembro esse valor é o que foi para a "aba" de RESTOS A PAGAR ?? Então OK</t>
  </si>
  <si>
    <t>2) No mês de dezembro ocorreu alteração no inciso V, alínea "b", devido a devolução de sub-repasse.</t>
  </si>
  <si>
    <t>RESTOS A PAGAR 2016</t>
  </si>
  <si>
    <t>01/2017</t>
  </si>
  <si>
    <t>02/2017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</si>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</sst>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40" fontId="0" fillId="0" borderId="0" xfId="2" applyNumberFormat="1" applyFont="1"/>
    <xf numFmtId="40" fontId="0" fillId="0" borderId="1" xfId="2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2" applyNumberFormat="1" applyFont="1" applyFill="1" applyBorder="1" applyAlignment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39" fontId="0" fillId="0" borderId="0" xfId="0" applyNumberFormat="1"/>
    <xf numFmtId="167" fontId="0" fillId="0" borderId="0" xfId="2" applyNumberFormat="1" applyFont="1"/>
    <xf numFmtId="0" fontId="3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shrinkToFit="1"/>
    </xf>
    <xf numFmtId="0" fontId="0" fillId="0" borderId="23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19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49" fontId="1" fillId="0" borderId="18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8" xfId="0" applyNumberForma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0" xfId="0" applyBorder="1" applyAlignment="1">
      <alignment horizontal="left" shrinkToFit="1"/>
    </xf>
    <xf numFmtId="0" fontId="0" fillId="0" borderId="21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8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4885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78217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00125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4869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view="pageBreakPreview" zoomScale="130" zoomScaleNormal="100" zoomScaleSheetLayoutView="130" workbookViewId="0">
      <selection activeCell="E38" sqref="E3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">
        <v>218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">
        <v>219</v>
      </c>
      <c r="C6" s="107"/>
    </row>
    <row r="7" spans="1:3" x14ac:dyDescent="0.2">
      <c r="A7" s="2" t="s">
        <v>36</v>
      </c>
      <c r="B7" s="104" t="s">
        <v>346</v>
      </c>
      <c r="C7" s="105"/>
    </row>
    <row r="8" spans="1:3" x14ac:dyDescent="0.2">
      <c r="A8" s="2" t="s">
        <v>37</v>
      </c>
      <c r="B8" s="106">
        <v>42776</v>
      </c>
      <c r="C8" s="10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231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239</v>
      </c>
      <c r="C16" s="10">
        <v>0</v>
      </c>
    </row>
    <row r="17" spans="1:3" x14ac:dyDescent="0.2">
      <c r="A17" s="103" t="s">
        <v>71</v>
      </c>
      <c r="B17" s="103"/>
      <c r="C17" s="10">
        <f>SUM(C13:C16)</f>
        <v>59033483.960000008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241</v>
      </c>
    </row>
    <row r="22" spans="1:3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3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3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3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3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3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3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3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3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3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3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3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3" ht="63.75" x14ac:dyDescent="0.2">
      <c r="A34" s="6" t="s">
        <v>53</v>
      </c>
      <c r="B34" s="7" t="s">
        <v>243</v>
      </c>
      <c r="C34" s="10">
        <f>'Despesa - Access'!E18+'Despesa - Access Emag'!E18</f>
        <v>0</v>
      </c>
    </row>
    <row r="35" spans="1:3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3" x14ac:dyDescent="0.2">
      <c r="A36" s="2" t="s">
        <v>55</v>
      </c>
      <c r="B36" s="2" t="s">
        <v>233</v>
      </c>
      <c r="C36" s="10">
        <f>'Despesa - Access'!E20+'Despesa - Access Emag'!E20</f>
        <v>0</v>
      </c>
    </row>
    <row r="37" spans="1:3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3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3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3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3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3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3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3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3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3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3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3" x14ac:dyDescent="0.2">
      <c r="A48" s="103" t="s">
        <v>71</v>
      </c>
      <c r="B48" s="103"/>
      <c r="C48" s="10">
        <f>SUM(C22:C47)</f>
        <v>3241167.41</v>
      </c>
    </row>
    <row r="50" spans="1:3" x14ac:dyDescent="0.2">
      <c r="A50" s="4" t="s">
        <v>223</v>
      </c>
    </row>
    <row r="52" spans="1:3" x14ac:dyDescent="0.2">
      <c r="A52" s="3" t="s">
        <v>38</v>
      </c>
      <c r="B52" s="3" t="s">
        <v>39</v>
      </c>
      <c r="C52" s="11" t="s">
        <v>241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03" t="s">
        <v>71</v>
      </c>
      <c r="B58" s="103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232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242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213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235</v>
      </c>
      <c r="C73" s="9">
        <f>'Financeiro - Access'!E5+'Financeiro - Access Emag'!E5</f>
        <v>0</v>
      </c>
    </row>
    <row r="74" spans="1:3" x14ac:dyDescent="0.2">
      <c r="A74" s="103" t="s">
        <v>71</v>
      </c>
      <c r="B74" s="103"/>
      <c r="C74" s="10">
        <f>SUM(C70:C73)</f>
        <v>71949798.280000001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3" x14ac:dyDescent="0.2">
      <c r="A81" s="2" t="s">
        <v>42</v>
      </c>
      <c r="B81" s="2" t="s">
        <v>238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3" t="s">
        <v>71</v>
      </c>
      <c r="B83" s="103"/>
      <c r="C83" s="10">
        <f>SUM(C79:C82)</f>
        <v>0</v>
      </c>
    </row>
    <row r="84" spans="1:3" x14ac:dyDescent="0.2">
      <c r="A84" s="112" t="s">
        <v>288</v>
      </c>
      <c r="B84" s="113"/>
      <c r="C84" s="113"/>
    </row>
    <row r="85" spans="1:3" x14ac:dyDescent="0.2">
      <c r="A85" s="114" t="s">
        <v>340</v>
      </c>
      <c r="B85" s="114"/>
      <c r="C85" s="114"/>
    </row>
    <row r="86" spans="1:3" x14ac:dyDescent="0.2">
      <c r="A86" s="114" t="s">
        <v>351</v>
      </c>
      <c r="B86" s="114"/>
      <c r="C86" s="114"/>
    </row>
    <row r="87" spans="1:3" x14ac:dyDescent="0.2">
      <c r="A87" s="115" t="s">
        <v>360</v>
      </c>
      <c r="B87" s="116"/>
      <c r="C87" s="117"/>
    </row>
    <row r="88" spans="1:3" x14ac:dyDescent="0.2">
      <c r="A88" s="115" t="s">
        <v>371</v>
      </c>
      <c r="B88" s="116"/>
      <c r="C88" s="117"/>
    </row>
    <row r="89" spans="1:3" x14ac:dyDescent="0.2">
      <c r="A89" s="115" t="s">
        <v>375</v>
      </c>
      <c r="B89" s="116"/>
      <c r="C89" s="117"/>
    </row>
    <row r="90" spans="1:3" x14ac:dyDescent="0.2">
      <c r="A90" s="109"/>
      <c r="B90" s="109"/>
      <c r="C90" s="109"/>
    </row>
  </sheetData>
  <mergeCells count="20">
    <mergeCell ref="A90:C90"/>
    <mergeCell ref="A58:B58"/>
    <mergeCell ref="A65:B65"/>
    <mergeCell ref="A74:B74"/>
    <mergeCell ref="A83:B83"/>
    <mergeCell ref="A84:C84"/>
    <mergeCell ref="A85:C85"/>
    <mergeCell ref="A86:C86"/>
    <mergeCell ref="A87:C87"/>
    <mergeCell ref="A89:C89"/>
    <mergeCell ref="A88:C88"/>
    <mergeCell ref="A48:B48"/>
    <mergeCell ref="B7:C7"/>
    <mergeCell ref="B8:C8"/>
    <mergeCell ref="A1:C1"/>
    <mergeCell ref="A17:B17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tr">
        <f>'Anexo I - Jan'!B4:C4</f>
        <v>TRIBUNAL REGIONAL FEDERAL DA 3ª REGIÃO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tr">
        <f>'Anexo I - Jan'!B6:C6</f>
        <v>SECRETARIA DE PLANEJAMENTO, ORÇAMENTO E FINANÇAS</v>
      </c>
      <c r="C6" s="107"/>
    </row>
    <row r="7" spans="1:3" x14ac:dyDescent="0.2">
      <c r="A7" s="2" t="s">
        <v>36</v>
      </c>
      <c r="B7" s="121" t="s">
        <v>347</v>
      </c>
      <c r="C7" s="122"/>
    </row>
    <row r="8" spans="1:3" x14ac:dyDescent="0.2">
      <c r="A8" s="2" t="s">
        <v>37</v>
      </c>
      <c r="B8" s="123">
        <v>42811</v>
      </c>
      <c r="C8" s="110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231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239</v>
      </c>
      <c r="C16" s="10">
        <f>'Despesa - Access'!F5+'Despesa - Access Emag'!F5</f>
        <v>0</v>
      </c>
    </row>
    <row r="17" spans="1:4" x14ac:dyDescent="0.2">
      <c r="A17" s="103" t="s">
        <v>71</v>
      </c>
      <c r="B17" s="103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241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243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233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03" t="s">
        <v>71</v>
      </c>
      <c r="B48" s="103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223</v>
      </c>
    </row>
    <row r="52" spans="1:4" x14ac:dyDescent="0.2">
      <c r="A52" s="3" t="s">
        <v>38</v>
      </c>
      <c r="B52" s="3" t="s">
        <v>39</v>
      </c>
      <c r="C52" s="11" t="s">
        <v>241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03" t="s">
        <v>71</v>
      </c>
      <c r="B58" s="103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241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03" t="s">
        <v>71</v>
      </c>
      <c r="B65" s="103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241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213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235</v>
      </c>
      <c r="C73" s="9">
        <f>'Financeiro - Access'!F5+'Financeiro - Access Emag'!F5</f>
        <v>0</v>
      </c>
    </row>
    <row r="74" spans="1:5" x14ac:dyDescent="0.2">
      <c r="A74" s="103" t="s">
        <v>71</v>
      </c>
      <c r="B74" s="103"/>
      <c r="C74" s="10">
        <f>SUM(C70:C73)</f>
        <v>49373538.480000004</v>
      </c>
    </row>
    <row r="76" spans="1:5" x14ac:dyDescent="0.2">
      <c r="A76" s="4" t="s">
        <v>217</v>
      </c>
    </row>
    <row r="78" spans="1:5" x14ac:dyDescent="0.2">
      <c r="A78" s="3" t="s">
        <v>38</v>
      </c>
      <c r="B78" s="3" t="s">
        <v>39</v>
      </c>
      <c r="C78" s="11" t="s">
        <v>241</v>
      </c>
    </row>
    <row r="79" spans="1:5" x14ac:dyDescent="0.2">
      <c r="A79" s="2" t="s">
        <v>40</v>
      </c>
      <c r="B79" s="2" t="s">
        <v>236</v>
      </c>
      <c r="C79" s="9"/>
    </row>
    <row r="80" spans="1:5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20" t="s">
        <v>349</v>
      </c>
      <c r="B85" s="120"/>
      <c r="C85" s="120"/>
    </row>
    <row r="86" spans="1:5" x14ac:dyDescent="0.2">
      <c r="A86" s="120" t="s">
        <v>376</v>
      </c>
      <c r="B86" s="120"/>
      <c r="C86" s="120"/>
    </row>
    <row r="87" spans="1:5" x14ac:dyDescent="0.2">
      <c r="A87" s="102"/>
      <c r="B87" s="102"/>
      <c r="C87" s="102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11"/>
      <c r="B91" s="110"/>
      <c r="C91" s="9">
        <v>0</v>
      </c>
      <c r="D91" s="9">
        <v>0</v>
      </c>
      <c r="E91" s="9">
        <f>C91-D91</f>
        <v>0</v>
      </c>
    </row>
    <row r="92" spans="1:5" x14ac:dyDescent="0.2">
      <c r="A92" s="111" t="s">
        <v>335</v>
      </c>
      <c r="B92" s="110"/>
      <c r="C92" s="9">
        <v>109107153.18000001</v>
      </c>
      <c r="D92" s="9" t="e">
        <f>'Anexo I - Jan'!#REF!</f>
        <v>#REF!</v>
      </c>
      <c r="E92" s="9" t="e">
        <f>C92-D92</f>
        <v>#REF!</v>
      </c>
    </row>
    <row r="93" spans="1:5" x14ac:dyDescent="0.2">
      <c r="A93" s="111" t="s">
        <v>336</v>
      </c>
      <c r="B93" s="110"/>
      <c r="C93" s="9">
        <f>14763.87</f>
        <v>14763.87</v>
      </c>
      <c r="D93" s="9" t="e">
        <f>'Anexo I - Jan'!#REF!</f>
        <v>#REF!</v>
      </c>
      <c r="E93" s="9" t="e">
        <f>C93-D93</f>
        <v>#REF!</v>
      </c>
    </row>
    <row r="94" spans="1:5" x14ac:dyDescent="0.2">
      <c r="A94" s="111" t="s">
        <v>97</v>
      </c>
      <c r="B94" s="119"/>
      <c r="C94" s="119"/>
      <c r="D94" s="110"/>
      <c r="E94" s="27" t="e">
        <f>SUM(E91:E93)</f>
        <v>#REF!</v>
      </c>
    </row>
    <row r="95" spans="1:5" x14ac:dyDescent="0.2">
      <c r="A95" s="111" t="s">
        <v>98</v>
      </c>
      <c r="B95" s="119"/>
      <c r="C95" s="119"/>
      <c r="D95" s="110"/>
      <c r="E95" s="27">
        <f>C17+C48+C58+C65</f>
        <v>46832501.810000002</v>
      </c>
    </row>
    <row r="97" spans="4:6" x14ac:dyDescent="0.2">
      <c r="D97" s="59" t="s">
        <v>332</v>
      </c>
      <c r="E97" s="55">
        <v>46832501.810000002</v>
      </c>
    </row>
    <row r="98" spans="4:6" x14ac:dyDescent="0.2">
      <c r="E98" s="56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58" t="s">
        <v>333</v>
      </c>
    </row>
  </sheetData>
  <mergeCells count="22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82" zoomScale="130" zoomScaleNormal="100" zoomScaleSheetLayoutView="130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7" customWidth="1"/>
    <col min="5" max="5" width="13.85546875" style="57" bestFit="1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">
        <v>218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">
        <v>219</v>
      </c>
      <c r="C6" s="107"/>
    </row>
    <row r="7" spans="1:3" x14ac:dyDescent="0.2">
      <c r="A7" s="2" t="s">
        <v>36</v>
      </c>
      <c r="B7" s="104" t="s">
        <v>348</v>
      </c>
      <c r="C7" s="105"/>
    </row>
    <row r="8" spans="1:3" x14ac:dyDescent="0.2">
      <c r="A8" s="2" t="s">
        <v>37</v>
      </c>
      <c r="B8" s="106">
        <v>42844</v>
      </c>
      <c r="C8" s="10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231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239</v>
      </c>
      <c r="C16" s="10">
        <f>'Despesa - Access'!G5+'Despesa - Access Emag'!G5</f>
        <v>0</v>
      </c>
    </row>
    <row r="17" spans="1:5" x14ac:dyDescent="0.2">
      <c r="A17" s="103" t="s">
        <v>71</v>
      </c>
      <c r="B17" s="103"/>
      <c r="C17" s="10">
        <f>SUM(C13:C16)</f>
        <v>40803763.329999998</v>
      </c>
      <c r="D17" s="57">
        <f>40803763.33+0</f>
        <v>40803763.329999998</v>
      </c>
      <c r="E17" s="57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243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233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03" t="s">
        <v>71</v>
      </c>
      <c r="B48" s="103"/>
      <c r="C48" s="10">
        <f>SUM(C22:C47)</f>
        <v>6885765.2499999981</v>
      </c>
      <c r="D48" s="72">
        <f>6884487.24+1278.01</f>
        <v>6885765.25</v>
      </c>
      <c r="E48" s="57">
        <f>+C48-D48</f>
        <v>0</v>
      </c>
    </row>
    <row r="50" spans="1:3" x14ac:dyDescent="0.2">
      <c r="A50" s="4" t="s">
        <v>223</v>
      </c>
    </row>
    <row r="52" spans="1:3" x14ac:dyDescent="0.2">
      <c r="A52" s="3" t="s">
        <v>38</v>
      </c>
      <c r="B52" s="3" t="s">
        <v>39</v>
      </c>
      <c r="C52" s="11" t="s">
        <v>241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03" t="s">
        <v>71</v>
      </c>
      <c r="B58" s="103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232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213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235</v>
      </c>
      <c r="C73" s="9">
        <f>'Financeiro - Access'!G5+'Financeiro - Access Emag'!G5</f>
        <v>0</v>
      </c>
    </row>
    <row r="74" spans="1:3" x14ac:dyDescent="0.2">
      <c r="A74" s="103" t="s">
        <v>71</v>
      </c>
      <c r="B74" s="103"/>
      <c r="C74" s="10">
        <f>SUM(C70:C73)</f>
        <v>49939081.070000008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372</v>
      </c>
      <c r="B85" s="118"/>
      <c r="C85" s="118"/>
    </row>
    <row r="86" spans="1:5" x14ac:dyDescent="0.2">
      <c r="A86" s="114"/>
      <c r="B86" s="125"/>
      <c r="C86" s="125"/>
    </row>
    <row r="87" spans="1:5" x14ac:dyDescent="0.2">
      <c r="A87" s="126"/>
      <c r="B87" s="126"/>
      <c r="C87" s="126"/>
    </row>
    <row r="88" spans="1:5" x14ac:dyDescent="0.2">
      <c r="A88" s="114"/>
      <c r="B88" s="125"/>
      <c r="C88" s="125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62"/>
      <c r="B90" s="62"/>
      <c r="C90" s="62"/>
    </row>
    <row r="91" spans="1:5" x14ac:dyDescent="0.2">
      <c r="C91" s="11" t="s">
        <v>102</v>
      </c>
      <c r="D91" s="74" t="s">
        <v>101</v>
      </c>
      <c r="E91" s="74" t="s">
        <v>71</v>
      </c>
    </row>
    <row r="92" spans="1:5" x14ac:dyDescent="0.2">
      <c r="A92" s="111"/>
      <c r="B92" s="110"/>
      <c r="C92" s="9">
        <v>0</v>
      </c>
      <c r="D92" s="76">
        <v>0</v>
      </c>
      <c r="E92" s="76">
        <f>C92-D92</f>
        <v>0</v>
      </c>
    </row>
    <row r="93" spans="1:5" x14ac:dyDescent="0.2">
      <c r="A93" s="124" t="s">
        <v>335</v>
      </c>
      <c r="B93" s="110"/>
      <c r="C93" s="9">
        <f>156795403.75</f>
        <v>156795403.75</v>
      </c>
      <c r="D93" s="76">
        <f>'Anexo I - Fev'!C92</f>
        <v>109107153.18000001</v>
      </c>
      <c r="E93" s="76">
        <f>C93-D93</f>
        <v>47688250.569999993</v>
      </c>
    </row>
    <row r="94" spans="1:5" x14ac:dyDescent="0.2">
      <c r="A94" s="124" t="s">
        <v>336</v>
      </c>
      <c r="B94" s="110"/>
      <c r="C94" s="9">
        <v>1278.01</v>
      </c>
      <c r="D94" s="76">
        <f>'Anexo I - Fev'!C93</f>
        <v>14763.87</v>
      </c>
      <c r="E94" s="76">
        <f>C94-D94</f>
        <v>-13485.86</v>
      </c>
    </row>
    <row r="95" spans="1:5" x14ac:dyDescent="0.2">
      <c r="A95" s="111" t="s">
        <v>97</v>
      </c>
      <c r="B95" s="119"/>
      <c r="C95" s="119"/>
      <c r="D95" s="110"/>
      <c r="E95" s="77">
        <f>SUM(E92:E94)</f>
        <v>47674764.709999993</v>
      </c>
    </row>
    <row r="96" spans="1:5" x14ac:dyDescent="0.2">
      <c r="A96" s="111" t="s">
        <v>98</v>
      </c>
      <c r="B96" s="119"/>
      <c r="C96" s="119"/>
      <c r="D96" s="110"/>
      <c r="E96" s="77">
        <f>C17+C48+C58+C65</f>
        <v>47689528.579999998</v>
      </c>
    </row>
    <row r="98" spans="4:6" x14ac:dyDescent="0.2">
      <c r="D98" s="88" t="s">
        <v>332</v>
      </c>
      <c r="E98" s="79">
        <f>47688250.57+1278.01</f>
        <v>47689528.579999998</v>
      </c>
    </row>
    <row r="99" spans="4:6" x14ac:dyDescent="0.2">
      <c r="E99" s="80" t="str">
        <f>IF(E96=E98,"Despesa Ok","Diferença")</f>
        <v>Despesa Ok</v>
      </c>
      <c r="F99" s="8"/>
    </row>
    <row r="100" spans="4:6" x14ac:dyDescent="0.2">
      <c r="E100" s="57">
        <f>E96-E98</f>
        <v>0</v>
      </c>
      <c r="F100" s="58" t="s">
        <v>333</v>
      </c>
    </row>
  </sheetData>
  <mergeCells count="24"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view="pageBreakPreview" topLeftCell="A67" zoomScale="130" zoomScaleNormal="100" zoomScaleSheetLayoutView="130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">
        <v>218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">
        <v>219</v>
      </c>
      <c r="C6" s="107"/>
    </row>
    <row r="7" spans="1:3" x14ac:dyDescent="0.2">
      <c r="A7" s="2" t="s">
        <v>36</v>
      </c>
      <c r="B7" s="121" t="s">
        <v>350</v>
      </c>
      <c r="C7" s="122"/>
    </row>
    <row r="8" spans="1:3" x14ac:dyDescent="0.2">
      <c r="A8" s="2" t="s">
        <v>37</v>
      </c>
      <c r="B8" s="123">
        <v>42874</v>
      </c>
      <c r="C8" s="110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231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239</v>
      </c>
      <c r="C16" s="10">
        <v>389.07</v>
      </c>
    </row>
    <row r="17" spans="1:5" x14ac:dyDescent="0.2">
      <c r="A17" s="103" t="s">
        <v>71</v>
      </c>
      <c r="B17" s="103"/>
      <c r="C17" s="10">
        <f>SUM(C13:C16)</f>
        <v>42234551.789999999</v>
      </c>
      <c r="D17" s="54">
        <v>42234162.719999999</v>
      </c>
      <c r="E17" s="54">
        <f>+C17-D17</f>
        <v>389.07000000029802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5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5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5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5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5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5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5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5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5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5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5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5" ht="63.75" x14ac:dyDescent="0.2">
      <c r="A34" s="6" t="s">
        <v>53</v>
      </c>
      <c r="B34" s="7" t="s">
        <v>243</v>
      </c>
      <c r="C34" s="10">
        <f>'Despesa - Access'!H18+'Despesa - Access Emag'!H18</f>
        <v>260080</v>
      </c>
    </row>
    <row r="35" spans="1:5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5" x14ac:dyDescent="0.2">
      <c r="A36" s="2" t="s">
        <v>55</v>
      </c>
      <c r="B36" s="2" t="s">
        <v>233</v>
      </c>
      <c r="C36" s="10">
        <f>'Despesa - Access'!H20+'Despesa - Access Emag'!H20</f>
        <v>0</v>
      </c>
    </row>
    <row r="37" spans="1:5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5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5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5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5" x14ac:dyDescent="0.2">
      <c r="A41" s="2" t="s">
        <v>60</v>
      </c>
      <c r="B41" s="2" t="s">
        <v>234</v>
      </c>
      <c r="C41" s="10">
        <f>'Despesa - Access'!H25+'Despesa - Access Emag'!H25</f>
        <v>2580</v>
      </c>
    </row>
    <row r="42" spans="1:5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5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5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5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5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5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5" x14ac:dyDescent="0.2">
      <c r="A48" s="103" t="s">
        <v>71</v>
      </c>
      <c r="B48" s="103"/>
      <c r="C48" s="10">
        <f>SUM(C22:C47)</f>
        <v>6349768.209999999</v>
      </c>
      <c r="D48" s="54">
        <f>6338224.69+11543.52</f>
        <v>6349768.21</v>
      </c>
      <c r="E48" s="54">
        <f>+C48-D48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5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5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5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5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5" x14ac:dyDescent="0.2">
      <c r="A58" s="103" t="s">
        <v>71</v>
      </c>
      <c r="B58" s="103"/>
      <c r="C58" s="10">
        <f>SUM(C53:C57)</f>
        <v>624</v>
      </c>
      <c r="D58" s="54">
        <v>624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232</v>
      </c>
    </row>
    <row r="63" spans="1:5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5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213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235</v>
      </c>
      <c r="C73" s="9">
        <f>'Financeiro - Access'!H5+'Financeiro - Access Emag'!H5</f>
        <v>0</v>
      </c>
    </row>
    <row r="74" spans="1:3" x14ac:dyDescent="0.2">
      <c r="A74" s="103" t="s">
        <v>71</v>
      </c>
      <c r="B74" s="103"/>
      <c r="C74" s="10">
        <f>SUM(C70:C73)</f>
        <v>47315375.710000001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373</v>
      </c>
      <c r="B85" s="118"/>
      <c r="C85" s="118"/>
    </row>
    <row r="86" spans="1:5" x14ac:dyDescent="0.2">
      <c r="A86" s="118"/>
      <c r="B86" s="118"/>
      <c r="C86" s="118"/>
    </row>
    <row r="87" spans="1:5" x14ac:dyDescent="0.2">
      <c r="A87" s="114"/>
      <c r="B87" s="125"/>
      <c r="C87" s="125"/>
    </row>
    <row r="88" spans="1:5" x14ac:dyDescent="0.2">
      <c r="A88" s="114"/>
      <c r="B88" s="125"/>
      <c r="C88" s="125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64"/>
      <c r="B90" s="64"/>
      <c r="C90" s="64"/>
    </row>
    <row r="91" spans="1:5" x14ac:dyDescent="0.2">
      <c r="C91" s="11" t="s">
        <v>103</v>
      </c>
      <c r="D91" s="69" t="s">
        <v>102</v>
      </c>
      <c r="E91" s="69" t="s">
        <v>71</v>
      </c>
    </row>
    <row r="92" spans="1:5" x14ac:dyDescent="0.2">
      <c r="A92" s="111"/>
      <c r="B92" s="110"/>
      <c r="C92" s="9">
        <v>0</v>
      </c>
      <c r="D92" s="45">
        <v>0</v>
      </c>
      <c r="E92" s="45">
        <f>C92-D92</f>
        <v>0</v>
      </c>
    </row>
    <row r="93" spans="1:5" x14ac:dyDescent="0.2">
      <c r="A93" s="111" t="s">
        <v>335</v>
      </c>
      <c r="B93" s="110"/>
      <c r="C93" s="9">
        <v>205368415.16</v>
      </c>
      <c r="D93" s="45">
        <f>'Anexo I - Mar'!C93</f>
        <v>156795403.75</v>
      </c>
      <c r="E93" s="45">
        <f>C93-D93</f>
        <v>48573011.409999996</v>
      </c>
    </row>
    <row r="94" spans="1:5" x14ac:dyDescent="0.2">
      <c r="A94" s="111" t="s">
        <v>336</v>
      </c>
      <c r="B94" s="110"/>
      <c r="C94" s="9">
        <f>69638.17</f>
        <v>69638.17</v>
      </c>
      <c r="D94" s="45">
        <f>'Anexo I - Mar'!C94</f>
        <v>1278.01</v>
      </c>
      <c r="E94" s="45">
        <f>C94-D94</f>
        <v>68360.160000000003</v>
      </c>
    </row>
    <row r="95" spans="1:5" x14ac:dyDescent="0.2">
      <c r="A95" s="111" t="s">
        <v>97</v>
      </c>
      <c r="B95" s="119"/>
      <c r="C95" s="119"/>
      <c r="D95" s="110"/>
      <c r="E95" s="82">
        <f>SUM(E92:E94)</f>
        <v>48641371.569999993</v>
      </c>
    </row>
    <row r="96" spans="1:5" x14ac:dyDescent="0.2">
      <c r="A96" s="111" t="s">
        <v>98</v>
      </c>
      <c r="B96" s="119"/>
      <c r="C96" s="119"/>
      <c r="D96" s="110"/>
      <c r="E96" s="82">
        <f>C17+C48+C58+C65</f>
        <v>48584944</v>
      </c>
    </row>
    <row r="98" spans="4:6" x14ac:dyDescent="0.2">
      <c r="D98" s="70" t="s">
        <v>332</v>
      </c>
      <c r="E98" s="83">
        <f>48573011.41+11543.52</f>
        <v>48584554.93</v>
      </c>
    </row>
    <row r="99" spans="4:6" x14ac:dyDescent="0.2">
      <c r="E99" s="84" t="str">
        <f>IF(E96=E98,"Despesa Ok","Diferença")</f>
        <v>Diferença</v>
      </c>
      <c r="F99" s="8"/>
    </row>
    <row r="100" spans="4:6" x14ac:dyDescent="0.2">
      <c r="E100" s="54">
        <f>E96-E98</f>
        <v>389.07000000029802</v>
      </c>
      <c r="F100" s="58" t="s">
        <v>333</v>
      </c>
    </row>
    <row r="102" spans="4:6" x14ac:dyDescent="0.2">
      <c r="E102" s="54" t="s">
        <v>245</v>
      </c>
    </row>
  </sheetData>
  <mergeCells count="24"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1:C1"/>
    <mergeCell ref="B3:C3"/>
    <mergeCell ref="B4:C4"/>
    <mergeCell ref="B5:C5"/>
    <mergeCell ref="A84:C84"/>
    <mergeCell ref="A87:C87"/>
    <mergeCell ref="A95:D95"/>
    <mergeCell ref="A96:D96"/>
    <mergeCell ref="A89:E89"/>
    <mergeCell ref="A92:B92"/>
    <mergeCell ref="A93:B93"/>
    <mergeCell ref="A94:B94"/>
    <mergeCell ref="A88:C88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view="pageBreakPreview" topLeftCell="A64" zoomScale="130" zoomScaleNormal="100" zoomScaleSheetLayoutView="130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">
        <v>218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">
        <v>219</v>
      </c>
      <c r="C6" s="107"/>
    </row>
    <row r="7" spans="1:3" x14ac:dyDescent="0.2">
      <c r="A7" s="2" t="s">
        <v>36</v>
      </c>
      <c r="B7" s="121" t="s">
        <v>352</v>
      </c>
      <c r="C7" s="122"/>
    </row>
    <row r="8" spans="1:3" x14ac:dyDescent="0.2">
      <c r="A8" s="2" t="s">
        <v>37</v>
      </c>
      <c r="B8" s="123">
        <v>42900</v>
      </c>
      <c r="C8" s="110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231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239</v>
      </c>
      <c r="C16" s="10">
        <v>5857849.6299999999</v>
      </c>
    </row>
    <row r="17" spans="1:5" x14ac:dyDescent="0.2">
      <c r="A17" s="103" t="s">
        <v>71</v>
      </c>
      <c r="B17" s="103"/>
      <c r="C17" s="10">
        <f>SUM(C13:C16)</f>
        <v>46792108.800000004</v>
      </c>
      <c r="D17" s="54">
        <f>40934259.17+0</f>
        <v>40934259.170000002</v>
      </c>
      <c r="E17" s="54">
        <f>+D17-C17</f>
        <v>-5857849.6300000027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5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5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5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5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5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5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5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5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5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5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5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5" ht="63.75" x14ac:dyDescent="0.2">
      <c r="A34" s="6" t="s">
        <v>53</v>
      </c>
      <c r="B34" s="7" t="s">
        <v>243</v>
      </c>
      <c r="C34" s="10">
        <f>'Despesa - Access'!I18+'Despesa - Access Emag'!I18</f>
        <v>173320.81</v>
      </c>
    </row>
    <row r="35" spans="1:5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5" x14ac:dyDescent="0.2">
      <c r="A36" s="2" t="s">
        <v>55</v>
      </c>
      <c r="B36" s="2" t="s">
        <v>233</v>
      </c>
      <c r="C36" s="10">
        <f>'Despesa - Access'!I20+'Despesa - Access Emag'!I20</f>
        <v>383628.89</v>
      </c>
    </row>
    <row r="37" spans="1:5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5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5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5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5" x14ac:dyDescent="0.2">
      <c r="A41" s="2" t="s">
        <v>60</v>
      </c>
      <c r="B41" s="2" t="s">
        <v>234</v>
      </c>
      <c r="C41" s="10">
        <f>'Despesa - Access'!I25+'Despesa - Access Emag'!I25</f>
        <v>0</v>
      </c>
    </row>
    <row r="42" spans="1:5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5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5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5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5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5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5" x14ac:dyDescent="0.2">
      <c r="A48" s="103" t="s">
        <v>71</v>
      </c>
      <c r="B48" s="103"/>
      <c r="C48" s="10">
        <f>SUM(C22:C47)</f>
        <v>6968937.1499999994</v>
      </c>
      <c r="D48" s="54">
        <f>6934303.85+34633.3</f>
        <v>6968937.1499999994</v>
      </c>
      <c r="E48" s="54">
        <f>+D48-C48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5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5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5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5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5" x14ac:dyDescent="0.2">
      <c r="A58" s="103" t="s">
        <v>71</v>
      </c>
      <c r="B58" s="103"/>
      <c r="C58" s="10">
        <f>SUM(C53:C57)</f>
        <v>13926.84</v>
      </c>
      <c r="D58" s="54">
        <v>13926.84</v>
      </c>
      <c r="E58" s="54">
        <f>+D58-C58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232</v>
      </c>
    </row>
    <row r="63" spans="1:5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5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213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235</v>
      </c>
      <c r="C73" s="9">
        <f>'Financeiro - Access'!I5+'Financeiro - Access Emag'!I5</f>
        <v>0</v>
      </c>
    </row>
    <row r="74" spans="1:3" x14ac:dyDescent="0.2">
      <c r="A74" s="103" t="s">
        <v>71</v>
      </c>
      <c r="B74" s="103"/>
      <c r="C74" s="10">
        <f>SUM(C70:C73)</f>
        <v>48301527.689999998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374</v>
      </c>
      <c r="B85" s="118"/>
      <c r="C85" s="118"/>
    </row>
    <row r="86" spans="1:5" x14ac:dyDescent="0.2">
      <c r="A86" s="126"/>
      <c r="B86" s="126"/>
      <c r="C86" s="126"/>
    </row>
    <row r="87" spans="1:5" x14ac:dyDescent="0.2">
      <c r="A87" s="126"/>
      <c r="B87" s="126"/>
      <c r="C87" s="126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5"/>
      <c r="B89" s="65"/>
      <c r="C89" s="65"/>
    </row>
    <row r="90" spans="1:5" x14ac:dyDescent="0.2">
      <c r="C90" s="11" t="s">
        <v>104</v>
      </c>
      <c r="D90" s="69" t="s">
        <v>103</v>
      </c>
      <c r="E90" s="69" t="s">
        <v>71</v>
      </c>
    </row>
    <row r="91" spans="1:5" x14ac:dyDescent="0.2">
      <c r="A91" s="111"/>
      <c r="B91" s="110"/>
      <c r="C91" s="9">
        <v>0</v>
      </c>
      <c r="D91" s="45">
        <v>0</v>
      </c>
      <c r="E91" s="45">
        <f>C91-D91</f>
        <v>0</v>
      </c>
    </row>
    <row r="92" spans="1:5" x14ac:dyDescent="0.2">
      <c r="A92" s="111" t="s">
        <v>335</v>
      </c>
      <c r="B92" s="110"/>
      <c r="C92" s="9">
        <f>253250905.02</f>
        <v>253250905.02000001</v>
      </c>
      <c r="D92" s="45">
        <f>'Anexo I - Abr'!C93</f>
        <v>205368415.16</v>
      </c>
      <c r="E92" s="45">
        <f>C92-D92</f>
        <v>47882489.860000014</v>
      </c>
    </row>
    <row r="93" spans="1:5" x14ac:dyDescent="0.2">
      <c r="A93" s="111" t="s">
        <v>336</v>
      </c>
      <c r="B93" s="110"/>
      <c r="C93" s="9">
        <f>47454.83</f>
        <v>47454.83</v>
      </c>
      <c r="D93" s="45">
        <f>'Anexo I - Abr'!C94</f>
        <v>69638.17</v>
      </c>
      <c r="E93" s="45">
        <f>C93-D93</f>
        <v>-22183.339999999997</v>
      </c>
    </row>
    <row r="94" spans="1:5" x14ac:dyDescent="0.2">
      <c r="A94" s="111" t="s">
        <v>97</v>
      </c>
      <c r="B94" s="119"/>
      <c r="C94" s="119"/>
      <c r="D94" s="110"/>
      <c r="E94" s="82">
        <f>SUM(E91:E93)</f>
        <v>47860306.520000011</v>
      </c>
    </row>
    <row r="95" spans="1:5" x14ac:dyDescent="0.2">
      <c r="A95" s="111" t="s">
        <v>98</v>
      </c>
      <c r="B95" s="119"/>
      <c r="C95" s="119"/>
      <c r="D95" s="110"/>
      <c r="E95" s="82">
        <f>C17+C48+C58+C65</f>
        <v>53774972.790000007</v>
      </c>
    </row>
    <row r="97" spans="4:6" x14ac:dyDescent="0.2">
      <c r="D97" s="70" t="s">
        <v>332</v>
      </c>
      <c r="E97" s="83">
        <f>47882489.86+34633.3</f>
        <v>47917123.159999996</v>
      </c>
    </row>
    <row r="98" spans="4:6" x14ac:dyDescent="0.2">
      <c r="E98" s="84" t="str">
        <f>IF(E95=E97,"Despesa Ok","Diferença")</f>
        <v>Diferença</v>
      </c>
      <c r="F98" s="8"/>
    </row>
    <row r="99" spans="4:6" x14ac:dyDescent="0.2">
      <c r="E99" s="54">
        <f>E95-E97</f>
        <v>5857849.6300000101</v>
      </c>
      <c r="F99" s="58" t="s">
        <v>333</v>
      </c>
    </row>
    <row r="101" spans="4:6" x14ac:dyDescent="0.2">
      <c r="E101" s="54" t="s">
        <v>245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  <mergeCell ref="A87:C87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70" zoomScale="115" zoomScaleNormal="100" zoomScaleSheetLayoutView="115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">
        <v>218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">
        <v>219</v>
      </c>
      <c r="C6" s="107"/>
    </row>
    <row r="7" spans="1:3" x14ac:dyDescent="0.2">
      <c r="A7" s="2" t="s">
        <v>36</v>
      </c>
      <c r="B7" s="105" t="s">
        <v>353</v>
      </c>
      <c r="C7" s="105"/>
    </row>
    <row r="8" spans="1:3" x14ac:dyDescent="0.2">
      <c r="A8" s="2" t="s">
        <v>37</v>
      </c>
      <c r="B8" s="106">
        <v>42936</v>
      </c>
      <c r="C8" s="10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231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239</v>
      </c>
      <c r="C16" s="10">
        <f>'Despesa - Access'!J5+'Despesa - Access Emag'!J5</f>
        <v>0</v>
      </c>
    </row>
    <row r="17" spans="1:5" x14ac:dyDescent="0.2">
      <c r="A17" s="103" t="s">
        <v>71</v>
      </c>
      <c r="B17" s="103"/>
      <c r="C17" s="10">
        <f>SUM(C13:C16)</f>
        <v>42623597.560000002</v>
      </c>
      <c r="D17" s="54">
        <f>42623597.56</f>
        <v>42623597.560000002</v>
      </c>
      <c r="E17" s="8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243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233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03" t="s">
        <v>71</v>
      </c>
      <c r="B48" s="103"/>
      <c r="C48" s="10">
        <f>SUM(C22:C47)</f>
        <v>6686397.1599999992</v>
      </c>
      <c r="D48" s="54">
        <f>6673497.68+12899.48</f>
        <v>6686397.1600000001</v>
      </c>
      <c r="E48" s="8">
        <f>+C48-D48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03" t="s">
        <v>71</v>
      </c>
      <c r="B58" s="103"/>
      <c r="C58" s="10">
        <f>SUM(C53:C57)</f>
        <v>32179.42</v>
      </c>
      <c r="D58" s="54">
        <v>32179.42</v>
      </c>
      <c r="E58" s="8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241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213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235</v>
      </c>
      <c r="C73" s="9">
        <f>'Financeiro - Access'!J5+'Financeiro - Access Emag'!J5</f>
        <v>0</v>
      </c>
    </row>
    <row r="74" spans="1:3" x14ac:dyDescent="0.2">
      <c r="A74" s="103" t="s">
        <v>71</v>
      </c>
      <c r="B74" s="103"/>
      <c r="C74" s="10">
        <f>SUM(C70:C73)</f>
        <v>49410711.780000001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373</v>
      </c>
      <c r="B85" s="118"/>
      <c r="C85" s="118"/>
      <c r="E85" s="54"/>
    </row>
    <row r="86" spans="1:5" x14ac:dyDescent="0.2">
      <c r="A86" s="127"/>
      <c r="B86" s="127"/>
      <c r="C86" s="127"/>
    </row>
    <row r="87" spans="1:5" x14ac:dyDescent="0.2">
      <c r="A87" s="109"/>
      <c r="B87" s="109"/>
      <c r="C87" s="109"/>
      <c r="D87" s="109"/>
      <c r="E87" s="109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6"/>
      <c r="B89" s="66"/>
      <c r="C89" s="66"/>
    </row>
    <row r="90" spans="1:5" x14ac:dyDescent="0.2">
      <c r="C90" s="11" t="s">
        <v>105</v>
      </c>
      <c r="D90" s="69" t="s">
        <v>104</v>
      </c>
      <c r="E90" s="3" t="s">
        <v>71</v>
      </c>
    </row>
    <row r="91" spans="1:5" x14ac:dyDescent="0.2">
      <c r="A91" s="111"/>
      <c r="B91" s="110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1" t="s">
        <v>335</v>
      </c>
      <c r="B92" s="110"/>
      <c r="C92" s="9">
        <v>302580179.68000001</v>
      </c>
      <c r="D92" s="45">
        <f>'Anexo I - Mai'!C92</f>
        <v>253250905.02000001</v>
      </c>
      <c r="E92" s="9">
        <f>C92-D92</f>
        <v>49329274.659999996</v>
      </c>
    </row>
    <row r="93" spans="1:5" x14ac:dyDescent="0.2">
      <c r="A93" s="111" t="s">
        <v>336</v>
      </c>
      <c r="B93" s="110"/>
      <c r="C93" s="9">
        <v>60354.31</v>
      </c>
      <c r="D93" s="45">
        <f>'Anexo I - Mai'!C93</f>
        <v>47454.83</v>
      </c>
      <c r="E93" s="9">
        <f>C93-D93</f>
        <v>12899.479999999996</v>
      </c>
    </row>
    <row r="94" spans="1:5" x14ac:dyDescent="0.2">
      <c r="A94" s="111" t="s">
        <v>97</v>
      </c>
      <c r="B94" s="119"/>
      <c r="C94" s="119"/>
      <c r="D94" s="110"/>
      <c r="E94" s="27">
        <f>SUM(E91:E93)</f>
        <v>49342174.139999993</v>
      </c>
    </row>
    <row r="95" spans="1:5" x14ac:dyDescent="0.2">
      <c r="A95" s="111" t="s">
        <v>98</v>
      </c>
      <c r="B95" s="119"/>
      <c r="C95" s="119"/>
      <c r="D95" s="110"/>
      <c r="E95" s="27">
        <f>C17+C48+C58+C65</f>
        <v>49342174.140000001</v>
      </c>
    </row>
    <row r="97" spans="4:6" x14ac:dyDescent="0.2">
      <c r="D97" s="70" t="s">
        <v>332</v>
      </c>
      <c r="E97" s="55">
        <f>49329274.66+12899.48</f>
        <v>49342174.139999993</v>
      </c>
    </row>
    <row r="98" spans="4:6" x14ac:dyDescent="0.2">
      <c r="E98" s="56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58" t="s">
        <v>333</v>
      </c>
    </row>
    <row r="100" spans="4:6" x14ac:dyDescent="0.2">
      <c r="E100" s="54"/>
    </row>
    <row r="101" spans="4:6" x14ac:dyDescent="0.2">
      <c r="E101" s="54" t="s">
        <v>245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6:C86"/>
    <mergeCell ref="A88:E88"/>
    <mergeCell ref="A93:B93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">
        <v>218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">
        <v>219</v>
      </c>
      <c r="C6" s="107"/>
    </row>
    <row r="7" spans="1:3" x14ac:dyDescent="0.2">
      <c r="A7" s="2" t="s">
        <v>36</v>
      </c>
      <c r="B7" s="104" t="s">
        <v>354</v>
      </c>
      <c r="C7" s="105"/>
    </row>
    <row r="8" spans="1:3" x14ac:dyDescent="0.2">
      <c r="A8" s="2" t="s">
        <v>37</v>
      </c>
      <c r="B8" s="106">
        <v>42965</v>
      </c>
      <c r="C8" s="10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231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239</v>
      </c>
      <c r="C16" s="10">
        <f>'Despesa - Access'!K5+'Despesa - Access Emag'!K5</f>
        <v>0</v>
      </c>
    </row>
    <row r="17" spans="1:5" x14ac:dyDescent="0.2">
      <c r="A17" s="103" t="s">
        <v>71</v>
      </c>
      <c r="B17" s="103"/>
      <c r="C17" s="10">
        <f>SUM(C13:C16)</f>
        <v>41785302.780000001</v>
      </c>
      <c r="D17" s="54">
        <v>41785302.780000001</v>
      </c>
      <c r="E17" s="92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244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233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03" t="s">
        <v>71</v>
      </c>
      <c r="B48" s="103"/>
      <c r="C48" s="10">
        <f>SUM(C22:C47)</f>
        <v>6279005.3200000003</v>
      </c>
      <c r="D48" s="54">
        <f>15108.59+6263896.73</f>
        <v>6279005.3200000003</v>
      </c>
      <c r="E48" s="92">
        <f>C48-D48</f>
        <v>0</v>
      </c>
    </row>
    <row r="50" spans="1:4" x14ac:dyDescent="0.2">
      <c r="A50" s="4" t="s">
        <v>223</v>
      </c>
    </row>
    <row r="52" spans="1:4" x14ac:dyDescent="0.2">
      <c r="A52" s="3" t="s">
        <v>38</v>
      </c>
      <c r="B52" s="3" t="s">
        <v>39</v>
      </c>
      <c r="C52" s="11" t="s">
        <v>241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03" t="s">
        <v>71</v>
      </c>
      <c r="B58" s="103"/>
      <c r="C58" s="10">
        <f>SUM(C53:C57)</f>
        <v>5174.34</v>
      </c>
      <c r="D58" s="54" t="s">
        <v>337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241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213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235</v>
      </c>
      <c r="C73" s="9">
        <f>'Financeiro - Access'!K5+'Financeiro - Access Emag'!K5</f>
        <v>0</v>
      </c>
    </row>
    <row r="74" spans="1:3" x14ac:dyDescent="0.2">
      <c r="A74" s="103" t="s">
        <v>71</v>
      </c>
      <c r="B74" s="103"/>
      <c r="C74" s="10">
        <f>SUM(C70:C73)</f>
        <v>48616162.919999994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26" t="s">
        <v>356</v>
      </c>
      <c r="B85" s="126"/>
      <c r="C85" s="126"/>
    </row>
    <row r="86" spans="1:5" x14ac:dyDescent="0.2">
      <c r="A86" s="128"/>
      <c r="B86" s="128"/>
      <c r="C86" s="128"/>
    </row>
    <row r="87" spans="1:5" x14ac:dyDescent="0.2">
      <c r="A87" s="114"/>
      <c r="B87" s="125"/>
      <c r="C87" s="125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7"/>
      <c r="B89" s="67"/>
      <c r="C89" s="67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11"/>
      <c r="B91" s="110"/>
      <c r="C91" s="9">
        <v>0</v>
      </c>
      <c r="D91" s="9">
        <f>'Anexo I - Mai'!C91</f>
        <v>0</v>
      </c>
      <c r="E91" s="9">
        <f>C91-D91</f>
        <v>0</v>
      </c>
    </row>
    <row r="92" spans="1:5" x14ac:dyDescent="0.2">
      <c r="A92" s="111" t="s">
        <v>335</v>
      </c>
      <c r="B92" s="110"/>
      <c r="C92" s="9">
        <v>350634553.52999997</v>
      </c>
      <c r="D92" s="9">
        <f>'Anexo I - Jun'!C92</f>
        <v>302580179.68000001</v>
      </c>
      <c r="E92" s="9">
        <f>C92-D92</f>
        <v>48054373.849999964</v>
      </c>
    </row>
    <row r="93" spans="1:5" x14ac:dyDescent="0.2">
      <c r="A93" s="111" t="s">
        <v>336</v>
      </c>
      <c r="B93" s="110"/>
      <c r="C93" s="9">
        <v>75462.899999999994</v>
      </c>
      <c r="D93" s="9">
        <f>'Anexo I - Jun'!C93</f>
        <v>60354.31</v>
      </c>
      <c r="E93" s="9">
        <f>C93-D93</f>
        <v>15108.589999999997</v>
      </c>
    </row>
    <row r="94" spans="1:5" x14ac:dyDescent="0.2">
      <c r="A94" s="111" t="s">
        <v>97</v>
      </c>
      <c r="B94" s="119"/>
      <c r="C94" s="119"/>
      <c r="D94" s="110"/>
      <c r="E94" s="27">
        <f>SUM(E91:E93)</f>
        <v>48069482.439999968</v>
      </c>
    </row>
    <row r="95" spans="1:5" x14ac:dyDescent="0.2">
      <c r="A95" s="111" t="s">
        <v>98</v>
      </c>
      <c r="B95" s="119"/>
      <c r="C95" s="119"/>
      <c r="D95" s="110"/>
      <c r="E95" s="27">
        <f>C17+C48+C58+C65</f>
        <v>48069482.440000005</v>
      </c>
    </row>
    <row r="96" spans="1:5" x14ac:dyDescent="0.2">
      <c r="D96"/>
    </row>
    <row r="97" spans="4:6" x14ac:dyDescent="0.2">
      <c r="D97" s="59" t="s">
        <v>332</v>
      </c>
      <c r="E97" s="55">
        <f>41785302.78+6263896.73+5174.34+15108.59</f>
        <v>48069482.440000013</v>
      </c>
    </row>
    <row r="98" spans="4:6" x14ac:dyDescent="0.2">
      <c r="D98"/>
      <c r="E98" s="56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58" t="s">
        <v>333</v>
      </c>
    </row>
    <row r="100" spans="4:6" x14ac:dyDescent="0.2">
      <c r="D100"/>
      <c r="E100" s="54"/>
    </row>
    <row r="101" spans="4:6" x14ac:dyDescent="0.2">
      <c r="D101"/>
      <c r="E101" s="54" t="s">
        <v>245</v>
      </c>
    </row>
    <row r="102" spans="4:6" x14ac:dyDescent="0.2">
      <c r="D102"/>
    </row>
  </sheetData>
  <mergeCells count="23"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  <mergeCell ref="A1:C1"/>
    <mergeCell ref="B3:C3"/>
    <mergeCell ref="B4:C4"/>
    <mergeCell ref="B5:C5"/>
    <mergeCell ref="B6:C6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7" zoomScale="130" zoomScaleNormal="100" zoomScaleSheetLayoutView="130" workbookViewId="0">
      <selection activeCell="A81" sqref="A8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">
        <v>218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">
        <v>219</v>
      </c>
      <c r="C6" s="107"/>
    </row>
    <row r="7" spans="1:3" x14ac:dyDescent="0.2">
      <c r="A7" s="2" t="s">
        <v>36</v>
      </c>
      <c r="B7" s="104" t="s">
        <v>357</v>
      </c>
      <c r="C7" s="105"/>
    </row>
    <row r="8" spans="1:3" x14ac:dyDescent="0.2">
      <c r="A8" s="2" t="s">
        <v>37</v>
      </c>
      <c r="B8" s="129">
        <v>42998</v>
      </c>
      <c r="C8" s="10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231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239</v>
      </c>
      <c r="C16" s="10">
        <f>'Despesa - Access'!L5+'Despesa - Access Emag'!L5</f>
        <v>0</v>
      </c>
    </row>
    <row r="17" spans="1:5" x14ac:dyDescent="0.2">
      <c r="A17" s="103" t="s">
        <v>71</v>
      </c>
      <c r="B17" s="103"/>
      <c r="C17" s="10">
        <f>SUM(C13:C16)</f>
        <v>41994022.149999999</v>
      </c>
      <c r="D17" s="54">
        <v>41994022.149999999</v>
      </c>
      <c r="E17" s="63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243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233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0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03" t="s">
        <v>71</v>
      </c>
      <c r="B48" s="103"/>
      <c r="C48" s="10">
        <f>SUM(C22:C47)</f>
        <v>7231640.5599999987</v>
      </c>
      <c r="D48" s="54">
        <f>7222890.56+8750</f>
        <v>7231640.5599999996</v>
      </c>
      <c r="E48" s="8">
        <f>C48-D48</f>
        <v>0</v>
      </c>
    </row>
    <row r="49" spans="1:5" x14ac:dyDescent="0.2">
      <c r="D49" s="54" t="s">
        <v>355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03" t="s">
        <v>71</v>
      </c>
      <c r="B58" s="103"/>
      <c r="C58" s="10">
        <f>SUM(C53:C57)</f>
        <v>9010.91</v>
      </c>
      <c r="D58" s="54">
        <v>9010.91</v>
      </c>
      <c r="E58" s="93">
        <f>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241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213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235</v>
      </c>
      <c r="C73" s="9">
        <f>'Financeiro - Access'!L5+'Financeiro - Access Emag'!L5</f>
        <v>0</v>
      </c>
    </row>
    <row r="74" spans="1:3" x14ac:dyDescent="0.2">
      <c r="A74" s="103" t="s">
        <v>71</v>
      </c>
      <c r="B74" s="103"/>
      <c r="C74" s="10">
        <f>SUM(C70:C73)</f>
        <v>47569454.960000001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373</v>
      </c>
      <c r="B85" s="118"/>
      <c r="C85" s="118"/>
      <c r="E85" s="54"/>
    </row>
    <row r="86" spans="1:5" x14ac:dyDescent="0.2">
      <c r="A86" s="114"/>
      <c r="B86" s="114"/>
      <c r="C86" s="114"/>
    </row>
    <row r="87" spans="1:5" x14ac:dyDescent="0.2">
      <c r="A87" s="109"/>
      <c r="B87" s="109"/>
      <c r="C87" s="109"/>
      <c r="D87" s="109"/>
      <c r="E87" s="109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68"/>
      <c r="B89" s="68"/>
      <c r="C89" s="68"/>
    </row>
    <row r="90" spans="1:5" x14ac:dyDescent="0.2">
      <c r="C90" s="11" t="s">
        <v>107</v>
      </c>
      <c r="D90" s="69" t="s">
        <v>106</v>
      </c>
      <c r="E90" s="3" t="s">
        <v>71</v>
      </c>
    </row>
    <row r="91" spans="1:5" x14ac:dyDescent="0.2">
      <c r="A91" s="111"/>
      <c r="B91" s="110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1" t="s">
        <v>335</v>
      </c>
      <c r="B92" s="110"/>
      <c r="C92" s="9">
        <v>399860477.14999998</v>
      </c>
      <c r="D92" s="45">
        <f>'Anexo I - Jul'!C92</f>
        <v>350634553.52999997</v>
      </c>
      <c r="E92" s="9">
        <f>C92-D92</f>
        <v>49225923.620000005</v>
      </c>
    </row>
    <row r="93" spans="1:5" x14ac:dyDescent="0.2">
      <c r="A93" s="111" t="s">
        <v>336</v>
      </c>
      <c r="B93" s="110"/>
      <c r="C93" s="9">
        <v>84212.9</v>
      </c>
      <c r="D93" s="45">
        <f>'Anexo I - Jul'!C93</f>
        <v>75462.899999999994</v>
      </c>
      <c r="E93" s="9">
        <f>C93-D93</f>
        <v>8750</v>
      </c>
    </row>
    <row r="94" spans="1:5" x14ac:dyDescent="0.2">
      <c r="A94" s="111" t="s">
        <v>97</v>
      </c>
      <c r="B94" s="119"/>
      <c r="C94" s="119"/>
      <c r="D94" s="110"/>
      <c r="E94" s="27">
        <f>SUM(E91:E93)</f>
        <v>49234673.620000005</v>
      </c>
    </row>
    <row r="95" spans="1:5" x14ac:dyDescent="0.2">
      <c r="A95" s="111" t="s">
        <v>98</v>
      </c>
      <c r="B95" s="119"/>
      <c r="C95" s="119"/>
      <c r="D95" s="110"/>
      <c r="E95" s="27">
        <f>C17+C48+C58+C65</f>
        <v>49234673.61999999</v>
      </c>
    </row>
    <row r="97" spans="4:6" x14ac:dyDescent="0.2">
      <c r="D97" s="70" t="s">
        <v>332</v>
      </c>
      <c r="E97" s="55">
        <f>41994022.15+7222890.56+9010.91+8750</f>
        <v>49234673.619999997</v>
      </c>
    </row>
    <row r="98" spans="4:6" x14ac:dyDescent="0.2">
      <c r="E98" s="56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58" t="s">
        <v>333</v>
      </c>
    </row>
    <row r="100" spans="4:6" x14ac:dyDescent="0.2">
      <c r="E100" s="54"/>
    </row>
    <row r="101" spans="4:6" x14ac:dyDescent="0.2">
      <c r="E101" s="54" t="s">
        <v>245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8:E88"/>
    <mergeCell ref="A93:B93"/>
    <mergeCell ref="A86:C86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view="pageBreakPreview" topLeftCell="A70" zoomScale="130" zoomScaleNormal="100" zoomScaleSheetLayoutView="130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7" customWidth="1"/>
    <col min="6" max="6" width="13.85546875" bestFit="1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07" t="s">
        <v>218</v>
      </c>
      <c r="C4" s="107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07" t="s">
        <v>219</v>
      </c>
      <c r="C6" s="107"/>
    </row>
    <row r="7" spans="1:3" x14ac:dyDescent="0.2">
      <c r="A7" s="2" t="s">
        <v>36</v>
      </c>
      <c r="B7" s="105" t="s">
        <v>358</v>
      </c>
      <c r="C7" s="105"/>
    </row>
    <row r="8" spans="1:3" x14ac:dyDescent="0.2">
      <c r="A8" s="2" t="s">
        <v>37</v>
      </c>
      <c r="B8" s="106">
        <v>43027</v>
      </c>
      <c r="C8" s="107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240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231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239</v>
      </c>
      <c r="C16" s="10">
        <v>0</v>
      </c>
    </row>
    <row r="17" spans="1:5" x14ac:dyDescent="0.2">
      <c r="A17" s="103" t="s">
        <v>71</v>
      </c>
      <c r="B17" s="103"/>
      <c r="C17" s="10">
        <f>SUM(C13:C16)</f>
        <v>42146819.920000002</v>
      </c>
      <c r="D17" s="57">
        <v>42146819.920000002</v>
      </c>
      <c r="E17" s="57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5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5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5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5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5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5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5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5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5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5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5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5" ht="63.75" x14ac:dyDescent="0.2">
      <c r="A34" s="6" t="s">
        <v>53</v>
      </c>
      <c r="B34" s="7" t="s">
        <v>243</v>
      </c>
      <c r="C34" s="10">
        <f>'Despesa - Access'!M18+'Despesa - Access Emag'!M18</f>
        <v>286640.2</v>
      </c>
    </row>
    <row r="35" spans="1:5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5" x14ac:dyDescent="0.2">
      <c r="A36" s="2" t="s">
        <v>55</v>
      </c>
      <c r="B36" s="2" t="s">
        <v>233</v>
      </c>
      <c r="C36" s="10">
        <f>'Despesa - Access'!M20+'Despesa - Access Emag'!M20</f>
        <v>194914.44</v>
      </c>
    </row>
    <row r="37" spans="1:5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5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5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5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5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5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5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5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5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5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5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5" x14ac:dyDescent="0.2">
      <c r="A48" s="103" t="s">
        <v>71</v>
      </c>
      <c r="B48" s="103"/>
      <c r="C48" s="10">
        <f>SUM(C22:C47)</f>
        <v>7217331.8500000006</v>
      </c>
      <c r="D48" s="57">
        <f>7211056.58+6275.27</f>
        <v>7217331.8499999996</v>
      </c>
      <c r="E48" s="57">
        <f>+C48-D48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03" t="s">
        <v>71</v>
      </c>
      <c r="B58" s="103"/>
      <c r="C58" s="10">
        <f>SUM(C53:C57)</f>
        <v>15150</v>
      </c>
      <c r="D58" s="57">
        <v>15150</v>
      </c>
      <c r="E58" s="61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240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5" x14ac:dyDescent="0.2">
      <c r="A65" s="103" t="s">
        <v>71</v>
      </c>
      <c r="B65" s="103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241</v>
      </c>
    </row>
    <row r="70" spans="1:5" x14ac:dyDescent="0.2">
      <c r="A70" s="2" t="s">
        <v>40</v>
      </c>
      <c r="B70" s="2" t="s">
        <v>75</v>
      </c>
      <c r="C70" s="9">
        <f>'Financeiro - Access'!M2+'Financeiro - Access Emag'!M2</f>
        <v>42152814.68</v>
      </c>
      <c r="D70" s="57">
        <v>42152814.68</v>
      </c>
    </row>
    <row r="71" spans="1:5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  <c r="D71" s="57">
        <v>7497869.8500000006</v>
      </c>
    </row>
    <row r="72" spans="1:5" x14ac:dyDescent="0.2">
      <c r="A72" s="2" t="s">
        <v>42</v>
      </c>
      <c r="B72" s="2" t="s">
        <v>213</v>
      </c>
      <c r="C72" s="9">
        <f>'Financeiro - Access'!M4+'Financeiro - Access Emag'!M4</f>
        <v>274846.92</v>
      </c>
      <c r="D72" s="57">
        <v>274846.92</v>
      </c>
    </row>
    <row r="73" spans="1:5" x14ac:dyDescent="0.2">
      <c r="A73" s="2" t="s">
        <v>43</v>
      </c>
      <c r="B73" s="2" t="s">
        <v>235</v>
      </c>
      <c r="C73" s="9">
        <f>'Financeiro - Access'!M5+'Financeiro - Access Emag'!M5</f>
        <v>0</v>
      </c>
      <c r="D73" s="57">
        <v>0</v>
      </c>
    </row>
    <row r="74" spans="1:5" x14ac:dyDescent="0.2">
      <c r="A74" s="103" t="s">
        <v>71</v>
      </c>
      <c r="B74" s="103"/>
      <c r="C74" s="10">
        <f>SUM(C70:C73)</f>
        <v>49884277.649999999</v>
      </c>
      <c r="D74" s="57">
        <v>49925531.450000003</v>
      </c>
      <c r="E74" s="57">
        <f>+D74-C74</f>
        <v>41253.80000000447</v>
      </c>
    </row>
    <row r="76" spans="1:5" x14ac:dyDescent="0.2">
      <c r="A76" s="4" t="s">
        <v>217</v>
      </c>
    </row>
    <row r="78" spans="1:5" x14ac:dyDescent="0.2">
      <c r="A78" s="3" t="s">
        <v>38</v>
      </c>
      <c r="B78" s="3" t="s">
        <v>39</v>
      </c>
      <c r="C78" s="11" t="s">
        <v>240</v>
      </c>
    </row>
    <row r="79" spans="1:5" x14ac:dyDescent="0.2">
      <c r="A79" s="2" t="s">
        <v>40</v>
      </c>
      <c r="B79" s="2" t="s">
        <v>236</v>
      </c>
      <c r="C79" s="9"/>
    </row>
    <row r="80" spans="1:5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18" t="s">
        <v>288</v>
      </c>
      <c r="B84" s="118"/>
      <c r="C84" s="118"/>
    </row>
    <row r="85" spans="1:5" x14ac:dyDescent="0.2">
      <c r="A85" s="118" t="s">
        <v>373</v>
      </c>
      <c r="B85" s="118"/>
      <c r="C85" s="118"/>
      <c r="D85" s="54"/>
      <c r="E85" s="54"/>
    </row>
    <row r="86" spans="1:5" x14ac:dyDescent="0.2">
      <c r="A86" s="130"/>
      <c r="B86" s="130"/>
      <c r="C86" s="130"/>
    </row>
    <row r="87" spans="1:5" x14ac:dyDescent="0.2">
      <c r="A87" s="118"/>
      <c r="B87" s="118"/>
      <c r="C87" s="118"/>
    </row>
    <row r="89" spans="1:5" x14ac:dyDescent="0.2">
      <c r="A89" s="109" t="s">
        <v>99</v>
      </c>
      <c r="B89" s="109"/>
      <c r="C89" s="109"/>
      <c r="D89" s="109"/>
      <c r="E89" s="109"/>
    </row>
    <row r="90" spans="1:5" x14ac:dyDescent="0.2">
      <c r="A90" s="71"/>
      <c r="B90" s="71"/>
      <c r="C90" s="71"/>
      <c r="D90" s="72"/>
    </row>
    <row r="91" spans="1:5" x14ac:dyDescent="0.2">
      <c r="C91" s="11" t="s">
        <v>108</v>
      </c>
      <c r="D91" s="73" t="s">
        <v>107</v>
      </c>
      <c r="E91" s="74" t="s">
        <v>71</v>
      </c>
    </row>
    <row r="92" spans="1:5" x14ac:dyDescent="0.2">
      <c r="A92" s="111"/>
      <c r="B92" s="110"/>
      <c r="C92" s="9">
        <v>0</v>
      </c>
      <c r="D92" s="75">
        <f>'Anexo I - Mai'!C91</f>
        <v>0</v>
      </c>
      <c r="E92" s="76">
        <f>C92-D92</f>
        <v>0</v>
      </c>
    </row>
    <row r="93" spans="1:5" x14ac:dyDescent="0.2">
      <c r="A93" s="111" t="s">
        <v>335</v>
      </c>
      <c r="B93" s="110"/>
      <c r="C93" s="9">
        <v>449233503.64999998</v>
      </c>
      <c r="D93" s="75">
        <f>'Anexo I - Ago'!C92</f>
        <v>399860477.14999998</v>
      </c>
      <c r="E93" s="76">
        <f>C93-D93</f>
        <v>49373026.5</v>
      </c>
    </row>
    <row r="94" spans="1:5" x14ac:dyDescent="0.2">
      <c r="A94" s="111" t="s">
        <v>336</v>
      </c>
      <c r="B94" s="110"/>
      <c r="C94" s="9">
        <v>90488.17</v>
      </c>
      <c r="D94" s="75">
        <f>'Anexo I - Ago'!C93</f>
        <v>84212.9</v>
      </c>
      <c r="E94" s="76">
        <f>C94-D94</f>
        <v>6275.2700000000041</v>
      </c>
    </row>
    <row r="95" spans="1:5" x14ac:dyDescent="0.2">
      <c r="A95" s="111" t="s">
        <v>97</v>
      </c>
      <c r="B95" s="119"/>
      <c r="C95" s="119"/>
      <c r="D95" s="110"/>
      <c r="E95" s="77">
        <f>SUM(E92:E94)</f>
        <v>49379301.770000003</v>
      </c>
    </row>
    <row r="96" spans="1:5" x14ac:dyDescent="0.2">
      <c r="A96" s="111" t="s">
        <v>98</v>
      </c>
      <c r="B96" s="119"/>
      <c r="C96" s="119"/>
      <c r="D96" s="110"/>
      <c r="E96" s="77">
        <f>C17+C48+C58+C65</f>
        <v>49379301.770000003</v>
      </c>
    </row>
    <row r="97" spans="4:6" x14ac:dyDescent="0.2">
      <c r="D97" s="72"/>
    </row>
    <row r="98" spans="4:6" x14ac:dyDescent="0.2">
      <c r="D98" s="78" t="s">
        <v>332</v>
      </c>
      <c r="E98" s="79">
        <f>42146819.92+7211056.58+15150+6275.27</f>
        <v>49379301.770000003</v>
      </c>
    </row>
    <row r="99" spans="4:6" x14ac:dyDescent="0.2">
      <c r="D99" s="72"/>
      <c r="E99" s="80" t="str">
        <f>IF(E96=E98,"Despesa Ok","Diferença")</f>
        <v>Despesa Ok</v>
      </c>
      <c r="F99" s="8"/>
    </row>
    <row r="100" spans="4:6" x14ac:dyDescent="0.2">
      <c r="D100" s="72"/>
      <c r="E100" s="57">
        <f>E96-E98</f>
        <v>0</v>
      </c>
      <c r="F100" s="58" t="s">
        <v>333</v>
      </c>
    </row>
    <row r="101" spans="4:6" x14ac:dyDescent="0.2">
      <c r="D101" s="72"/>
      <c r="E101" s="72"/>
    </row>
    <row r="102" spans="4:6" x14ac:dyDescent="0.2">
      <c r="D102" s="72"/>
      <c r="E102" s="72" t="s">
        <v>245</v>
      </c>
    </row>
    <row r="103" spans="4:6" x14ac:dyDescent="0.2">
      <c r="D103" s="72"/>
    </row>
    <row r="104" spans="4:6" x14ac:dyDescent="0.2">
      <c r="D104" s="72"/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6:C86"/>
    <mergeCell ref="B6:C6"/>
    <mergeCell ref="B7:C7"/>
    <mergeCell ref="B8:C8"/>
    <mergeCell ref="A17:B17"/>
    <mergeCell ref="A85:C85"/>
    <mergeCell ref="A84:C84"/>
    <mergeCell ref="A87:C8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30" zoomScaleNormal="100" zoomScaleSheetLayoutView="130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31" t="s">
        <v>218</v>
      </c>
      <c r="C4" s="131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31" t="s">
        <v>219</v>
      </c>
      <c r="C6" s="131"/>
    </row>
    <row r="7" spans="1:3" x14ac:dyDescent="0.2">
      <c r="A7" s="2" t="s">
        <v>36</v>
      </c>
      <c r="B7" s="132" t="s">
        <v>359</v>
      </c>
      <c r="C7" s="133"/>
    </row>
    <row r="8" spans="1:3" x14ac:dyDescent="0.2">
      <c r="A8" s="2" t="s">
        <v>37</v>
      </c>
      <c r="B8" s="123">
        <v>43056</v>
      </c>
      <c r="C8" s="110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231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239</v>
      </c>
      <c r="C16" s="10"/>
    </row>
    <row r="17" spans="1:5" x14ac:dyDescent="0.2">
      <c r="A17" s="103" t="s">
        <v>71</v>
      </c>
      <c r="B17" s="103"/>
      <c r="C17" s="10">
        <f>SUM(C13:C16)</f>
        <v>42116615.009999998</v>
      </c>
      <c r="D17" s="54">
        <v>42116615.009999998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5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5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5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5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5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5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5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5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5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5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4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4" ht="63.75" x14ac:dyDescent="0.2">
      <c r="A34" s="6" t="s">
        <v>53</v>
      </c>
      <c r="B34" s="7" t="s">
        <v>243</v>
      </c>
      <c r="C34" s="10">
        <f>'Despesa - Access'!N18+'Despesa - Access Emag'!N18</f>
        <v>317990.90000000002</v>
      </c>
    </row>
    <row r="35" spans="1:4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4" x14ac:dyDescent="0.2">
      <c r="A36" s="2" t="s">
        <v>55</v>
      </c>
      <c r="B36" s="2" t="s">
        <v>233</v>
      </c>
      <c r="C36" s="10">
        <f>'Despesa - Access'!N20+'Despesa - Access Emag'!N20</f>
        <v>206110.35</v>
      </c>
    </row>
    <row r="37" spans="1:4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4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4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4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4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4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4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4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4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4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4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4" x14ac:dyDescent="0.2">
      <c r="A48" s="103" t="s">
        <v>71</v>
      </c>
      <c r="B48" s="103"/>
      <c r="C48" s="10">
        <f>SUM(C22:C47)</f>
        <v>7279606.0399999991</v>
      </c>
      <c r="D48" s="54">
        <f>7252505.3+27100.74</f>
        <v>7279606.04</v>
      </c>
    </row>
    <row r="50" spans="1:4" x14ac:dyDescent="0.2">
      <c r="A50" s="4" t="s">
        <v>223</v>
      </c>
    </row>
    <row r="52" spans="1:4" x14ac:dyDescent="0.2">
      <c r="A52" s="3" t="s">
        <v>38</v>
      </c>
      <c r="B52" s="3" t="s">
        <v>39</v>
      </c>
      <c r="C52" s="11" t="s">
        <v>241</v>
      </c>
    </row>
    <row r="53" spans="1:4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4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4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4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4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4" x14ac:dyDescent="0.2">
      <c r="A58" s="103" t="s">
        <v>71</v>
      </c>
      <c r="B58" s="103"/>
      <c r="C58" s="10">
        <f>SUM(C53:C57)</f>
        <v>1202.55</v>
      </c>
      <c r="D58" s="54">
        <v>1202.55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241</v>
      </c>
    </row>
    <row r="63" spans="1:4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4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213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235</v>
      </c>
      <c r="C73" s="9">
        <f>'Financeiro - Access'!N5+'Financeiro - Access Emag'!N5</f>
        <v>0</v>
      </c>
    </row>
    <row r="74" spans="1:3" x14ac:dyDescent="0.2">
      <c r="A74" s="103" t="s">
        <v>71</v>
      </c>
      <c r="B74" s="103"/>
      <c r="C74" s="10">
        <f>SUM(C70:C73)</f>
        <v>49829012.659999996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34" t="s">
        <v>288</v>
      </c>
      <c r="B84" s="118"/>
      <c r="C84" s="135"/>
    </row>
    <row r="85" spans="1:5" x14ac:dyDescent="0.2">
      <c r="A85" s="118" t="s">
        <v>373</v>
      </c>
      <c r="B85" s="118"/>
      <c r="C85" s="118"/>
    </row>
    <row r="89" spans="1:5" x14ac:dyDescent="0.2">
      <c r="A89" s="94" t="s">
        <v>99</v>
      </c>
      <c r="B89" s="94"/>
      <c r="C89" s="94"/>
      <c r="D89" s="94"/>
      <c r="E89" s="94"/>
    </row>
    <row r="90" spans="1:5" x14ac:dyDescent="0.2">
      <c r="A90" s="81"/>
      <c r="B90" s="81"/>
      <c r="C90" s="81"/>
    </row>
    <row r="91" spans="1:5" x14ac:dyDescent="0.2">
      <c r="C91" s="11" t="s">
        <v>109</v>
      </c>
      <c r="D91" s="69" t="s">
        <v>108</v>
      </c>
      <c r="E91" s="69" t="s">
        <v>71</v>
      </c>
    </row>
    <row r="92" spans="1:5" x14ac:dyDescent="0.2">
      <c r="A92" s="111"/>
      <c r="B92" s="110"/>
      <c r="C92" s="9">
        <v>0</v>
      </c>
      <c r="D92" s="45">
        <f>'Anexo I - Mai'!C91</f>
        <v>0</v>
      </c>
      <c r="E92" s="45">
        <f>C92-D92</f>
        <v>0</v>
      </c>
    </row>
    <row r="93" spans="1:5" x14ac:dyDescent="0.2">
      <c r="A93" s="111" t="s">
        <v>335</v>
      </c>
      <c r="B93" s="110"/>
      <c r="C93" s="9">
        <v>498603826.50999999</v>
      </c>
      <c r="D93" s="45">
        <f>'Anexo I - Set'!C93</f>
        <v>449233503.64999998</v>
      </c>
      <c r="E93" s="45">
        <f>C93-D93</f>
        <v>49370322.860000014</v>
      </c>
    </row>
    <row r="94" spans="1:5" x14ac:dyDescent="0.2">
      <c r="A94" s="111" t="s">
        <v>336</v>
      </c>
      <c r="B94" s="110"/>
      <c r="C94" s="9">
        <v>117588.91</v>
      </c>
      <c r="D94" s="45">
        <f>'Anexo I - Set'!C94</f>
        <v>90488.17</v>
      </c>
      <c r="E94" s="45">
        <f>C94-D94</f>
        <v>27100.740000000005</v>
      </c>
    </row>
    <row r="95" spans="1:5" x14ac:dyDescent="0.2">
      <c r="A95" s="95" t="s">
        <v>97</v>
      </c>
      <c r="B95" s="97"/>
      <c r="C95" s="97"/>
      <c r="D95" s="96"/>
      <c r="E95" s="82">
        <f>SUM(E92:E94)</f>
        <v>49397423.600000016</v>
      </c>
    </row>
    <row r="96" spans="1:5" x14ac:dyDescent="0.2">
      <c r="A96" s="95" t="s">
        <v>98</v>
      </c>
      <c r="B96" s="97"/>
      <c r="C96" s="97"/>
      <c r="D96" s="96"/>
      <c r="E96" s="82">
        <f>C17+C48+C58+C65</f>
        <v>49397423.599999994</v>
      </c>
    </row>
    <row r="98" spans="4:6" x14ac:dyDescent="0.2">
      <c r="D98" s="70" t="s">
        <v>332</v>
      </c>
      <c r="E98" s="83">
        <f>42116615.01+7252505.3+1202.55+27100.74</f>
        <v>49397423.599999994</v>
      </c>
    </row>
    <row r="99" spans="4:6" x14ac:dyDescent="0.2">
      <c r="E99" s="84" t="str">
        <f>IF(E96=E98,"Despesa Ok","Diferença")</f>
        <v>Despesa Ok</v>
      </c>
      <c r="F99" s="8"/>
    </row>
    <row r="100" spans="4:6" x14ac:dyDescent="0.2">
      <c r="E100" s="54">
        <f>E96-E98</f>
        <v>0</v>
      </c>
      <c r="F100" s="58" t="s">
        <v>333</v>
      </c>
    </row>
    <row r="102" spans="4:6" x14ac:dyDescent="0.2">
      <c r="E102" s="54" t="s">
        <v>245</v>
      </c>
    </row>
  </sheetData>
  <mergeCells count="1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A92:B92"/>
    <mergeCell ref="A93:B93"/>
    <mergeCell ref="A94:B94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4" zoomScale="115" zoomScaleNormal="100" zoomScaleSheetLayoutView="115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08" t="s">
        <v>220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31" t="s">
        <v>218</v>
      </c>
      <c r="C4" s="131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31" t="s">
        <v>219</v>
      </c>
      <c r="C6" s="131"/>
    </row>
    <row r="7" spans="1:3" x14ac:dyDescent="0.2">
      <c r="A7" s="2" t="s">
        <v>36</v>
      </c>
      <c r="B7" s="132" t="s">
        <v>361</v>
      </c>
      <c r="C7" s="133"/>
    </row>
    <row r="8" spans="1:3" x14ac:dyDescent="0.2">
      <c r="A8" s="2" t="s">
        <v>37</v>
      </c>
      <c r="B8" s="123">
        <v>43089</v>
      </c>
      <c r="C8" s="110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231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239</v>
      </c>
      <c r="C16" s="10"/>
    </row>
    <row r="17" spans="1:5" x14ac:dyDescent="0.2">
      <c r="A17" s="103" t="s">
        <v>71</v>
      </c>
      <c r="B17" s="103"/>
      <c r="C17" s="10">
        <f>SUM(C13:C16)</f>
        <v>69233790.620000005</v>
      </c>
      <c r="D17" s="54">
        <v>69233790.620000005</v>
      </c>
      <c r="E17" s="54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241</v>
      </c>
    </row>
    <row r="22" spans="1:5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5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5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5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5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5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5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5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5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5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5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5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5" ht="63.75" x14ac:dyDescent="0.2">
      <c r="A34" s="6" t="s">
        <v>53</v>
      </c>
      <c r="B34" s="7" t="s">
        <v>243</v>
      </c>
      <c r="C34" s="10">
        <f>'Despesa - Access'!O18+'Despesa - Access Emag'!O18</f>
        <v>142113.15</v>
      </c>
    </row>
    <row r="35" spans="1:5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5" x14ac:dyDescent="0.2">
      <c r="A36" s="2" t="s">
        <v>55</v>
      </c>
      <c r="B36" s="2" t="s">
        <v>233</v>
      </c>
      <c r="C36" s="10">
        <f>'Despesa - Access'!O20+'Despesa - Access Emag'!O20</f>
        <v>205905.9</v>
      </c>
    </row>
    <row r="37" spans="1:5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5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5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5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5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5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5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5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5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5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5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5" x14ac:dyDescent="0.2">
      <c r="A48" s="103" t="s">
        <v>71</v>
      </c>
      <c r="B48" s="103"/>
      <c r="C48" s="10">
        <f>SUM(C22:C47)</f>
        <v>7126111.8800000018</v>
      </c>
      <c r="D48" s="54">
        <f>7054785.97+71325.91</f>
        <v>7126111.8799999999</v>
      </c>
      <c r="E48" s="54">
        <f>+C48-D48</f>
        <v>0</v>
      </c>
    </row>
    <row r="50" spans="1:5" x14ac:dyDescent="0.2">
      <c r="A50" s="4" t="s">
        <v>223</v>
      </c>
    </row>
    <row r="52" spans="1:5" x14ac:dyDescent="0.2">
      <c r="A52" s="3" t="s">
        <v>38</v>
      </c>
      <c r="B52" s="3" t="s">
        <v>39</v>
      </c>
      <c r="C52" s="11" t="s">
        <v>241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03" t="s">
        <v>71</v>
      </c>
      <c r="B58" s="103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241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03" t="s">
        <v>71</v>
      </c>
      <c r="B65" s="103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241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213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235</v>
      </c>
      <c r="C73" s="9">
        <f>'Financeiro - Access'!O5+'Financeiro - Access Emag'!O5</f>
        <v>0</v>
      </c>
    </row>
    <row r="74" spans="1:3" x14ac:dyDescent="0.2">
      <c r="A74" s="103" t="s">
        <v>71</v>
      </c>
      <c r="B74" s="103"/>
      <c r="C74" s="10">
        <f>SUM(C70:C73)</f>
        <v>75813788.230000004</v>
      </c>
    </row>
    <row r="76" spans="1:3" x14ac:dyDescent="0.2">
      <c r="A76" s="4" t="s">
        <v>217</v>
      </c>
    </row>
    <row r="78" spans="1:3" x14ac:dyDescent="0.2">
      <c r="A78" s="3" t="s">
        <v>38</v>
      </c>
      <c r="B78" s="3" t="s">
        <v>39</v>
      </c>
      <c r="C78" s="11" t="s">
        <v>241</v>
      </c>
    </row>
    <row r="79" spans="1:3" x14ac:dyDescent="0.2">
      <c r="A79" s="2" t="s">
        <v>40</v>
      </c>
      <c r="B79" s="2" t="s">
        <v>236</v>
      </c>
      <c r="C79" s="9"/>
    </row>
    <row r="80" spans="1:3" x14ac:dyDescent="0.2">
      <c r="A80" s="2" t="s">
        <v>41</v>
      </c>
      <c r="B80" s="2" t="s">
        <v>237</v>
      </c>
      <c r="C80" s="9"/>
    </row>
    <row r="81" spans="1:5" x14ac:dyDescent="0.2">
      <c r="A81" s="2" t="s">
        <v>42</v>
      </c>
      <c r="B81" s="2" t="s">
        <v>238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3" t="s">
        <v>71</v>
      </c>
      <c r="B83" s="103"/>
      <c r="C83" s="10">
        <f>SUM(C79:C82)</f>
        <v>0</v>
      </c>
    </row>
    <row r="84" spans="1:5" x14ac:dyDescent="0.2">
      <c r="A84" s="136" t="s">
        <v>288</v>
      </c>
      <c r="B84" s="113"/>
      <c r="C84" s="113"/>
    </row>
    <row r="85" spans="1:5" x14ac:dyDescent="0.2">
      <c r="A85" s="112" t="s">
        <v>344</v>
      </c>
      <c r="B85" s="113"/>
      <c r="C85" s="113"/>
    </row>
    <row r="88" spans="1:5" x14ac:dyDescent="0.2">
      <c r="A88" s="109" t="s">
        <v>99</v>
      </c>
      <c r="B88" s="109"/>
      <c r="C88" s="109"/>
      <c r="D88" s="109"/>
      <c r="E88" s="109"/>
    </row>
    <row r="89" spans="1:5" x14ac:dyDescent="0.2">
      <c r="A89" s="85"/>
      <c r="B89" s="85"/>
      <c r="C89" s="85"/>
    </row>
    <row r="90" spans="1:5" x14ac:dyDescent="0.2">
      <c r="C90" s="11" t="s">
        <v>110</v>
      </c>
      <c r="D90" s="69" t="s">
        <v>109</v>
      </c>
      <c r="E90" s="69" t="s">
        <v>71</v>
      </c>
    </row>
    <row r="91" spans="1:5" x14ac:dyDescent="0.2">
      <c r="A91" s="111"/>
      <c r="B91" s="110"/>
      <c r="C91" s="9">
        <v>0</v>
      </c>
      <c r="D91" s="45">
        <f>'Anexo I - Mai'!C91</f>
        <v>0</v>
      </c>
      <c r="E91" s="45">
        <f>C91-D91</f>
        <v>0</v>
      </c>
    </row>
    <row r="92" spans="1:5" x14ac:dyDescent="0.2">
      <c r="A92" s="111" t="s">
        <v>335</v>
      </c>
      <c r="B92" s="110"/>
      <c r="C92" s="9">
        <v>574892403.10000002</v>
      </c>
      <c r="D92" s="45">
        <f>'Anexo I - Out'!C93</f>
        <v>498603826.50999999</v>
      </c>
      <c r="E92" s="45">
        <f>C92-D92</f>
        <v>76288576.590000033</v>
      </c>
    </row>
    <row r="93" spans="1:5" x14ac:dyDescent="0.2">
      <c r="A93" s="111" t="s">
        <v>336</v>
      </c>
      <c r="B93" s="110"/>
      <c r="C93" s="9">
        <v>188914.82</v>
      </c>
      <c r="D93" s="45">
        <f>'Anexo I - Out'!C94</f>
        <v>117588.91</v>
      </c>
      <c r="E93" s="45">
        <f>C93-D93</f>
        <v>71325.91</v>
      </c>
    </row>
    <row r="94" spans="1:5" x14ac:dyDescent="0.2">
      <c r="A94" s="111" t="s">
        <v>97</v>
      </c>
      <c r="B94" s="119"/>
      <c r="C94" s="119"/>
      <c r="D94" s="110"/>
      <c r="E94" s="82">
        <f>SUM(E91:E93)</f>
        <v>76359902.50000003</v>
      </c>
    </row>
    <row r="95" spans="1:5" x14ac:dyDescent="0.2">
      <c r="A95" s="111" t="s">
        <v>98</v>
      </c>
      <c r="B95" s="119"/>
      <c r="C95" s="119"/>
      <c r="D95" s="110"/>
      <c r="E95" s="82">
        <f>C17+C48+C58+C65</f>
        <v>76359902.5</v>
      </c>
    </row>
    <row r="97" spans="4:6" x14ac:dyDescent="0.2">
      <c r="D97" s="70" t="s">
        <v>332</v>
      </c>
      <c r="E97" s="83">
        <f>69233790.62+7054785.97+71325.91</f>
        <v>76359902.5</v>
      </c>
    </row>
    <row r="98" spans="4:6" x14ac:dyDescent="0.2">
      <c r="E98" s="84" t="str">
        <f>IF(E95=E97,"Despesa Ok","Diferença")</f>
        <v>Despesa Ok</v>
      </c>
      <c r="F98" s="8"/>
    </row>
    <row r="99" spans="4:6" x14ac:dyDescent="0.2">
      <c r="E99" s="54">
        <f>E95-E97</f>
        <v>0</v>
      </c>
      <c r="F99" s="58" t="s">
        <v>333</v>
      </c>
    </row>
    <row r="101" spans="4:6" x14ac:dyDescent="0.2">
      <c r="E101" s="54" t="s">
        <v>245</v>
      </c>
    </row>
  </sheetData>
  <mergeCells count="21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topLeftCell="A25" zoomScale="130" zoomScaleNormal="90" zoomScaleSheetLayoutView="130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08" t="s">
        <v>220</v>
      </c>
      <c r="B1" s="108"/>
      <c r="C1" s="108"/>
    </row>
    <row r="3" spans="1:7" x14ac:dyDescent="0.2">
      <c r="A3" s="2" t="s">
        <v>32</v>
      </c>
      <c r="B3" s="107" t="s">
        <v>224</v>
      </c>
      <c r="C3" s="107"/>
    </row>
    <row r="4" spans="1:7" x14ac:dyDescent="0.2">
      <c r="A4" s="2" t="s">
        <v>33</v>
      </c>
      <c r="B4" s="131" t="s">
        <v>218</v>
      </c>
      <c r="C4" s="131"/>
    </row>
    <row r="5" spans="1:7" x14ac:dyDescent="0.2">
      <c r="A5" s="2" t="s">
        <v>34</v>
      </c>
      <c r="B5" s="107" t="s">
        <v>339</v>
      </c>
      <c r="C5" s="107"/>
    </row>
    <row r="6" spans="1:7" x14ac:dyDescent="0.2">
      <c r="A6" s="2" t="s">
        <v>35</v>
      </c>
      <c r="B6" s="131" t="s">
        <v>219</v>
      </c>
      <c r="C6" s="131"/>
    </row>
    <row r="7" spans="1:7" x14ac:dyDescent="0.2">
      <c r="A7" s="2" t="s">
        <v>36</v>
      </c>
      <c r="B7" s="132" t="s">
        <v>341</v>
      </c>
      <c r="C7" s="133"/>
    </row>
    <row r="8" spans="1:7" x14ac:dyDescent="0.2">
      <c r="A8" s="2" t="s">
        <v>37</v>
      </c>
      <c r="B8" s="123">
        <v>42755</v>
      </c>
      <c r="C8" s="110"/>
    </row>
    <row r="10" spans="1:7" x14ac:dyDescent="0.2">
      <c r="A10" s="4" t="s">
        <v>222</v>
      </c>
    </row>
    <row r="12" spans="1:7" x14ac:dyDescent="0.2">
      <c r="A12" s="3" t="s">
        <v>38</v>
      </c>
      <c r="B12" s="3" t="s">
        <v>39</v>
      </c>
      <c r="C12" s="11" t="s">
        <v>241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231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239</v>
      </c>
      <c r="C16" s="10">
        <v>0</v>
      </c>
      <c r="D16" s="98" t="s">
        <v>367</v>
      </c>
      <c r="E16" s="98" t="s">
        <v>368</v>
      </c>
      <c r="F16" s="98" t="s">
        <v>369</v>
      </c>
      <c r="G16" s="57"/>
    </row>
    <row r="17" spans="1:7" x14ac:dyDescent="0.2">
      <c r="A17" s="103" t="s">
        <v>71</v>
      </c>
      <c r="B17" s="103"/>
      <c r="C17" s="10">
        <f>SUM(C13:C16)</f>
        <v>36809033.539999999</v>
      </c>
      <c r="D17" s="75">
        <f>46152150.33</f>
        <v>46152150.329999998</v>
      </c>
      <c r="E17" s="75">
        <v>-7145903.21</v>
      </c>
      <c r="F17" s="75">
        <v>-2197213.58</v>
      </c>
      <c r="G17" s="57">
        <f>+D17+E17+F17</f>
        <v>36809033.539999999</v>
      </c>
    </row>
    <row r="18" spans="1:7" x14ac:dyDescent="0.2">
      <c r="D18" s="72"/>
      <c r="E18" s="72"/>
      <c r="F18" s="72"/>
      <c r="G18" s="57"/>
    </row>
    <row r="19" spans="1:7" x14ac:dyDescent="0.2">
      <c r="A19" s="4" t="s">
        <v>72</v>
      </c>
      <c r="D19" s="72"/>
      <c r="E19" s="72"/>
      <c r="F19" s="72"/>
      <c r="G19" s="57"/>
    </row>
    <row r="20" spans="1:7" x14ac:dyDescent="0.2">
      <c r="D20" s="72"/>
      <c r="E20" s="72"/>
      <c r="F20" s="72"/>
      <c r="G20" s="57"/>
    </row>
    <row r="21" spans="1:7" x14ac:dyDescent="0.2">
      <c r="A21" s="3" t="s">
        <v>38</v>
      </c>
      <c r="B21" s="3" t="s">
        <v>39</v>
      </c>
      <c r="C21" s="11" t="s">
        <v>240</v>
      </c>
      <c r="D21" s="72"/>
      <c r="E21" s="72"/>
      <c r="F21" s="72"/>
      <c r="G21" s="57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2"/>
      <c r="E22" s="72"/>
      <c r="F22" s="72"/>
      <c r="G22" s="57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2"/>
      <c r="E23" s="72"/>
      <c r="F23" s="72"/>
      <c r="G23" s="57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2"/>
      <c r="E24" s="72"/>
      <c r="F24" s="72"/>
      <c r="G24" s="57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2"/>
      <c r="E25" s="72"/>
      <c r="F25" s="72"/>
      <c r="G25" s="57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2"/>
      <c r="E26" s="72"/>
      <c r="F26" s="72"/>
      <c r="G26" s="57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2"/>
      <c r="E27" s="72"/>
      <c r="F27" s="72"/>
      <c r="G27" s="57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2"/>
      <c r="E28" s="72"/>
      <c r="F28" s="72"/>
      <c r="G28" s="57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2"/>
      <c r="E29" s="72"/>
      <c r="F29" s="72"/>
      <c r="G29" s="57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2"/>
      <c r="E30" s="72"/>
      <c r="F30" s="72"/>
      <c r="G30" s="57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2"/>
      <c r="E31" s="72"/>
      <c r="F31" s="72"/>
      <c r="G31" s="57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2"/>
      <c r="E32" s="72"/>
      <c r="F32" s="72"/>
      <c r="G32" s="57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2"/>
      <c r="E33" s="72"/>
      <c r="F33" s="72"/>
      <c r="G33" s="57"/>
    </row>
    <row r="34" spans="1:7" ht="63.75" x14ac:dyDescent="0.2">
      <c r="A34" s="6" t="s">
        <v>53</v>
      </c>
      <c r="B34" s="7" t="s">
        <v>243</v>
      </c>
      <c r="C34" s="10">
        <f>'Despesa - Access'!P18+'Despesa - Access Emag'!P18</f>
        <v>93804.64</v>
      </c>
      <c r="D34" s="72"/>
      <c r="E34" s="72"/>
      <c r="F34" s="99" t="s">
        <v>370</v>
      </c>
      <c r="G34" s="57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2"/>
      <c r="E35" s="72"/>
      <c r="F35" s="75">
        <f>+F48+F17</f>
        <v>-2197213.58</v>
      </c>
      <c r="G35" s="57"/>
    </row>
    <row r="36" spans="1:7" x14ac:dyDescent="0.2">
      <c r="A36" s="2" t="s">
        <v>55</v>
      </c>
      <c r="B36" s="2" t="s">
        <v>233</v>
      </c>
      <c r="C36" s="10">
        <f>'Despesa - Access'!P20+'Despesa - Access Emag'!P20</f>
        <v>275435.21999999997</v>
      </c>
      <c r="D36" s="72"/>
      <c r="E36" s="72"/>
      <c r="F36" s="72"/>
      <c r="G36" s="57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2"/>
      <c r="E37" s="72"/>
      <c r="F37" s="72"/>
      <c r="G37" s="57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2"/>
      <c r="E38" s="72"/>
      <c r="F38" s="72"/>
      <c r="G38" s="57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2"/>
      <c r="E39" s="72"/>
      <c r="F39" s="72"/>
      <c r="G39" s="57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2"/>
      <c r="E40" s="72"/>
      <c r="F40" s="72"/>
      <c r="G40" s="57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2"/>
      <c r="E41" s="72"/>
      <c r="F41" s="72"/>
      <c r="G41" s="57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2"/>
      <c r="E42" s="72"/>
      <c r="F42" s="72"/>
      <c r="G42" s="57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2"/>
      <c r="E43" s="72"/>
      <c r="F43" s="72"/>
      <c r="G43" s="57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2"/>
      <c r="E44" s="72"/>
      <c r="F44" s="72"/>
      <c r="G44" s="57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2"/>
      <c r="E45" s="72"/>
      <c r="F45" s="72"/>
      <c r="G45" s="57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2"/>
      <c r="E46" s="72"/>
      <c r="F46" s="72"/>
      <c r="G46" s="57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98" t="s">
        <v>367</v>
      </c>
      <c r="E47" s="98" t="s">
        <v>368</v>
      </c>
      <c r="F47" s="98" t="s">
        <v>369</v>
      </c>
      <c r="G47" s="57"/>
    </row>
    <row r="48" spans="1:7" x14ac:dyDescent="0.2">
      <c r="A48" s="103" t="s">
        <v>71</v>
      </c>
      <c r="B48" s="103"/>
      <c r="C48" s="10">
        <f>SUM(C22:C47)</f>
        <v>6111063.5200000005</v>
      </c>
      <c r="D48" s="75">
        <f>10372413+114035.6</f>
        <v>10486448.6</v>
      </c>
      <c r="E48" s="75">
        <v>-4375385.08</v>
      </c>
      <c r="F48" s="75">
        <v>0</v>
      </c>
      <c r="G48" s="57">
        <f>+D48+E48+F48</f>
        <v>6111063.5199999996</v>
      </c>
    </row>
    <row r="49" spans="1:7" x14ac:dyDescent="0.2">
      <c r="D49" s="72"/>
      <c r="E49" s="72"/>
      <c r="F49" s="72"/>
      <c r="G49" s="57"/>
    </row>
    <row r="50" spans="1:7" x14ac:dyDescent="0.2">
      <c r="A50" s="4" t="s">
        <v>223</v>
      </c>
      <c r="D50" s="72"/>
      <c r="E50" s="72"/>
      <c r="F50" s="72"/>
      <c r="G50" s="57"/>
    </row>
    <row r="51" spans="1:7" x14ac:dyDescent="0.2">
      <c r="D51" s="72"/>
      <c r="E51" s="72"/>
      <c r="F51" s="72"/>
      <c r="G51" s="57"/>
    </row>
    <row r="52" spans="1:7" x14ac:dyDescent="0.2">
      <c r="A52" s="3" t="s">
        <v>38</v>
      </c>
      <c r="B52" s="3" t="s">
        <v>39</v>
      </c>
      <c r="C52" s="11" t="s">
        <v>240</v>
      </c>
      <c r="D52" s="72"/>
      <c r="E52" s="72"/>
      <c r="F52" s="72"/>
      <c r="G52" s="57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2"/>
      <c r="E53" s="72"/>
      <c r="F53" s="72"/>
      <c r="G53" s="57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2"/>
      <c r="E54" s="72"/>
      <c r="F54" s="72"/>
      <c r="G54" s="57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2"/>
      <c r="E55" s="72"/>
      <c r="F55" s="72"/>
      <c r="G55" s="57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2"/>
      <c r="E56" s="72"/>
      <c r="F56" s="72"/>
      <c r="G56" s="57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98" t="s">
        <v>367</v>
      </c>
      <c r="E57" s="98" t="s">
        <v>368</v>
      </c>
      <c r="F57" s="98" t="s">
        <v>369</v>
      </c>
      <c r="G57" s="57"/>
    </row>
    <row r="58" spans="1:7" x14ac:dyDescent="0.2">
      <c r="A58" s="103" t="s">
        <v>71</v>
      </c>
      <c r="B58" s="103"/>
      <c r="C58" s="10">
        <f>SUM(C53:C57)</f>
        <v>402256.98</v>
      </c>
      <c r="D58" s="75">
        <v>4545941.43</v>
      </c>
      <c r="E58" s="75">
        <v>-4143684.45</v>
      </c>
      <c r="F58" s="75">
        <v>0</v>
      </c>
      <c r="G58" s="57">
        <f>+D58+E58+F58</f>
        <v>402256.97999999952</v>
      </c>
    </row>
    <row r="59" spans="1:7" x14ac:dyDescent="0.2">
      <c r="D59" s="72"/>
      <c r="E59" s="72"/>
      <c r="F59" s="72"/>
      <c r="G59" s="57"/>
    </row>
    <row r="60" spans="1:7" x14ac:dyDescent="0.2">
      <c r="A60" s="4" t="s">
        <v>73</v>
      </c>
      <c r="D60" s="72"/>
      <c r="E60" s="72"/>
      <c r="F60" s="100"/>
      <c r="G60" s="57"/>
    </row>
    <row r="61" spans="1:7" x14ac:dyDescent="0.2">
      <c r="D61" s="72"/>
      <c r="E61" s="101"/>
      <c r="F61" s="100"/>
      <c r="G61" s="57"/>
    </row>
    <row r="62" spans="1:7" x14ac:dyDescent="0.2">
      <c r="A62" s="3" t="s">
        <v>38</v>
      </c>
      <c r="B62" s="3" t="s">
        <v>39</v>
      </c>
      <c r="C62" s="11" t="s">
        <v>241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03" t="s">
        <v>71</v>
      </c>
      <c r="B65" s="103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240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213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235</v>
      </c>
      <c r="C73" s="9">
        <f>'Financeiro - Access'!P5+'Financeiro - Access Emag'!P5</f>
        <v>0</v>
      </c>
    </row>
    <row r="74" spans="1:4" x14ac:dyDescent="0.2">
      <c r="A74" s="103" t="s">
        <v>71</v>
      </c>
      <c r="B74" s="103"/>
      <c r="C74" s="10">
        <f>SUM(C70:C73)</f>
        <v>52437410.240000002</v>
      </c>
      <c r="D74" s="87" t="s">
        <v>338</v>
      </c>
    </row>
    <row r="76" spans="1:4" x14ac:dyDescent="0.2">
      <c r="A76" s="4" t="s">
        <v>217</v>
      </c>
    </row>
    <row r="78" spans="1:4" x14ac:dyDescent="0.2">
      <c r="A78" s="3" t="s">
        <v>38</v>
      </c>
      <c r="B78" s="3" t="s">
        <v>39</v>
      </c>
      <c r="C78" s="11" t="s">
        <v>240</v>
      </c>
    </row>
    <row r="79" spans="1:4" x14ac:dyDescent="0.2">
      <c r="A79" s="2" t="s">
        <v>40</v>
      </c>
      <c r="B79" s="2" t="s">
        <v>236</v>
      </c>
      <c r="C79" s="9"/>
    </row>
    <row r="80" spans="1:4" x14ac:dyDescent="0.2">
      <c r="A80" s="2" t="s">
        <v>41</v>
      </c>
      <c r="B80" s="2" t="s">
        <v>237</v>
      </c>
      <c r="C80" s="9"/>
    </row>
    <row r="81" spans="1:9" x14ac:dyDescent="0.2">
      <c r="A81" s="2" t="s">
        <v>42</v>
      </c>
      <c r="B81" s="2" t="s">
        <v>238</v>
      </c>
      <c r="C81" s="9"/>
    </row>
    <row r="82" spans="1:9" x14ac:dyDescent="0.2">
      <c r="A82" s="2" t="s">
        <v>43</v>
      </c>
      <c r="B82" s="2" t="s">
        <v>77</v>
      </c>
      <c r="C82" s="9"/>
    </row>
    <row r="83" spans="1:9" x14ac:dyDescent="0.2">
      <c r="A83" s="103" t="s">
        <v>71</v>
      </c>
      <c r="B83" s="103"/>
      <c r="C83" s="10">
        <f>SUM(C79:C82)</f>
        <v>0</v>
      </c>
    </row>
    <row r="84" spans="1:9" x14ac:dyDescent="0.2">
      <c r="A84" s="118" t="s">
        <v>288</v>
      </c>
      <c r="B84" s="118"/>
      <c r="C84" s="118"/>
    </row>
    <row r="87" spans="1:9" x14ac:dyDescent="0.2">
      <c r="A87" s="109" t="s">
        <v>99</v>
      </c>
      <c r="B87" s="109"/>
      <c r="C87" s="109"/>
      <c r="D87" s="109"/>
      <c r="E87" s="109"/>
    </row>
    <row r="88" spans="1:9" x14ac:dyDescent="0.2">
      <c r="A88" s="86"/>
      <c r="B88" s="86"/>
      <c r="C88" s="86"/>
    </row>
    <row r="89" spans="1:9" x14ac:dyDescent="0.2">
      <c r="C89" s="11" t="s">
        <v>111</v>
      </c>
      <c r="D89" s="69" t="s">
        <v>110</v>
      </c>
      <c r="E89" s="69" t="s">
        <v>71</v>
      </c>
      <c r="I89" s="54"/>
    </row>
    <row r="90" spans="1:9" x14ac:dyDescent="0.2">
      <c r="A90" s="111"/>
      <c r="B90" s="110"/>
      <c r="C90" s="9">
        <v>0</v>
      </c>
      <c r="D90" s="45">
        <f>'Anexo I - Mai'!C91</f>
        <v>0</v>
      </c>
      <c r="E90" s="45">
        <f>C90-D90</f>
        <v>0</v>
      </c>
      <c r="I90" s="54"/>
    </row>
    <row r="91" spans="1:9" x14ac:dyDescent="0.2">
      <c r="A91" s="111" t="s">
        <v>335</v>
      </c>
      <c r="B91" s="110"/>
      <c r="C91" s="9">
        <f>633765694.28-15605062.67-2197213.58</f>
        <v>615963418.02999997</v>
      </c>
      <c r="D91" s="45">
        <f>'Anexo I - Nov'!C92</f>
        <v>574892403.10000002</v>
      </c>
      <c r="E91" s="45">
        <f>C91-D91</f>
        <v>41071014.929999948</v>
      </c>
      <c r="G91" s="137" t="s">
        <v>343</v>
      </c>
      <c r="H91" s="137"/>
      <c r="I91" s="137"/>
    </row>
    <row r="92" spans="1:9" x14ac:dyDescent="0.2">
      <c r="A92" s="111" t="s">
        <v>336</v>
      </c>
      <c r="B92" s="110"/>
      <c r="C92" s="9">
        <f>302950.42-59910.07</f>
        <v>243040.34999999998</v>
      </c>
      <c r="D92" s="45">
        <f>'Anexo I - Nov'!C93</f>
        <v>188914.82</v>
      </c>
      <c r="E92" s="45">
        <f>C92-D92</f>
        <v>54125.52999999997</v>
      </c>
      <c r="G92" s="137"/>
      <c r="H92" s="137"/>
      <c r="I92" s="137"/>
    </row>
    <row r="93" spans="1:9" x14ac:dyDescent="0.2">
      <c r="A93" s="111" t="s">
        <v>97</v>
      </c>
      <c r="B93" s="119"/>
      <c r="C93" s="119"/>
      <c r="D93" s="110"/>
      <c r="E93" s="82">
        <f>SUM(E90:E92)</f>
        <v>41125140.459999949</v>
      </c>
      <c r="F93" s="63">
        <f>+E93-E94</f>
        <v>-2197213.5800000504</v>
      </c>
      <c r="G93" s="137"/>
      <c r="H93" s="137"/>
      <c r="I93" s="137"/>
    </row>
    <row r="94" spans="1:9" x14ac:dyDescent="0.2">
      <c r="A94" s="111" t="s">
        <v>98</v>
      </c>
      <c r="B94" s="119"/>
      <c r="C94" s="119"/>
      <c r="D94" s="110"/>
      <c r="E94" s="82">
        <f>C17+C48+C58+C65</f>
        <v>43322354.039999999</v>
      </c>
      <c r="I94" s="54"/>
    </row>
    <row r="96" spans="1:9" x14ac:dyDescent="0.2">
      <c r="D96" s="70" t="s">
        <v>332</v>
      </c>
      <c r="E96" s="83">
        <f>61070504.76+114035.6-15664972.74</f>
        <v>45519567.619999997</v>
      </c>
      <c r="F96" s="63"/>
    </row>
    <row r="97" spans="5:10" x14ac:dyDescent="0.2">
      <c r="E97" s="84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89"/>
      <c r="H98" s="57"/>
    </row>
    <row r="99" spans="5:10" x14ac:dyDescent="0.2">
      <c r="F99" s="89"/>
      <c r="H99" s="57"/>
      <c r="J99" s="91"/>
    </row>
    <row r="100" spans="5:10" x14ac:dyDescent="0.2">
      <c r="F100" s="89"/>
      <c r="H100" s="57"/>
      <c r="J100" s="91"/>
    </row>
    <row r="101" spans="5:10" x14ac:dyDescent="0.2">
      <c r="H101" s="57"/>
    </row>
    <row r="102" spans="5:10" x14ac:dyDescent="0.2">
      <c r="F102" s="90"/>
      <c r="H102" s="57"/>
    </row>
    <row r="103" spans="5:10" x14ac:dyDescent="0.2">
      <c r="H103" s="57"/>
    </row>
  </sheetData>
  <mergeCells count="21">
    <mergeCell ref="A94:D94"/>
    <mergeCell ref="A90:B90"/>
    <mergeCell ref="A91:B91"/>
    <mergeCell ref="A87:E87"/>
    <mergeCell ref="A92:B92"/>
    <mergeCell ref="A93:D93"/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zoomScale="115" zoomScaleNormal="95" zoomScaleSheetLayoutView="115" workbookViewId="0">
      <selection activeCell="A81" sqref="A8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08" t="s">
        <v>221</v>
      </c>
      <c r="B1" s="108"/>
      <c r="C1" s="108"/>
    </row>
    <row r="3" spans="1:3" x14ac:dyDescent="0.2">
      <c r="A3" s="2" t="s">
        <v>32</v>
      </c>
      <c r="B3" s="107" t="s">
        <v>224</v>
      </c>
      <c r="C3" s="107"/>
    </row>
    <row r="4" spans="1:3" x14ac:dyDescent="0.2">
      <c r="A4" s="2" t="s">
        <v>33</v>
      </c>
      <c r="B4" s="131" t="s">
        <v>218</v>
      </c>
      <c r="C4" s="131"/>
    </row>
    <row r="5" spans="1:3" x14ac:dyDescent="0.2">
      <c r="A5" s="2" t="s">
        <v>34</v>
      </c>
      <c r="B5" s="107" t="s">
        <v>339</v>
      </c>
      <c r="C5" s="107"/>
    </row>
    <row r="6" spans="1:3" x14ac:dyDescent="0.2">
      <c r="A6" s="2" t="s">
        <v>35</v>
      </c>
      <c r="B6" s="131" t="s">
        <v>219</v>
      </c>
      <c r="C6" s="131"/>
    </row>
    <row r="7" spans="1:3" x14ac:dyDescent="0.2">
      <c r="A7" s="2" t="s">
        <v>36</v>
      </c>
      <c r="B7" s="132" t="s">
        <v>345</v>
      </c>
      <c r="C7" s="133"/>
    </row>
    <row r="8" spans="1:3" x14ac:dyDescent="0.2">
      <c r="A8" s="2" t="s">
        <v>37</v>
      </c>
      <c r="B8" s="123">
        <v>42755</v>
      </c>
      <c r="C8" s="110"/>
    </row>
    <row r="10" spans="1:3" x14ac:dyDescent="0.2">
      <c r="A10" s="4" t="s">
        <v>222</v>
      </c>
    </row>
    <row r="12" spans="1:3" x14ac:dyDescent="0.2">
      <c r="A12" s="3" t="s">
        <v>38</v>
      </c>
      <c r="B12" s="3" t="s">
        <v>39</v>
      </c>
      <c r="C12" s="11" t="s">
        <v>241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2628532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14442.48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424810.07</v>
      </c>
    </row>
    <row r="16" spans="1:3" ht="51" x14ac:dyDescent="0.2">
      <c r="A16" s="6" t="s">
        <v>43</v>
      </c>
      <c r="B16" s="5" t="s">
        <v>239</v>
      </c>
      <c r="C16" s="10">
        <f>'RP - Access'!E5+'RP - AccessEmag'!E5</f>
        <v>0</v>
      </c>
    </row>
    <row r="17" spans="1:3" x14ac:dyDescent="0.2">
      <c r="A17" s="103" t="s">
        <v>71</v>
      </c>
      <c r="B17" s="103"/>
      <c r="C17" s="10">
        <f>SUM(C13:C16)</f>
        <v>3067784.55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241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15544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7785.81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28483.67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148350.43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800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0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130000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296120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30464.25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167623.29</v>
      </c>
    </row>
    <row r="34" spans="1:3" ht="63.75" x14ac:dyDescent="0.2">
      <c r="A34" s="6" t="s">
        <v>53</v>
      </c>
      <c r="B34" s="7" t="s">
        <v>243</v>
      </c>
      <c r="C34" s="9">
        <f>'RP - Access'!E18+'RP - AccessEmag'!E18</f>
        <v>797559.08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128155.49</v>
      </c>
    </row>
    <row r="36" spans="1:3" x14ac:dyDescent="0.2">
      <c r="A36" s="2" t="s">
        <v>55</v>
      </c>
      <c r="B36" s="2" t="s">
        <v>233</v>
      </c>
      <c r="C36" s="9">
        <f>'RP - Access'!E20+'RP - AccessEmag'!E20</f>
        <v>62546.5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19470.09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235052.87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33100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101250.19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0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2000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0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279675.93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1307052.8899999999</v>
      </c>
    </row>
    <row r="48" spans="1:3" x14ac:dyDescent="0.2">
      <c r="A48" s="103" t="s">
        <v>71</v>
      </c>
      <c r="B48" s="103"/>
      <c r="C48" s="10">
        <f>SUM(C22:C47)</f>
        <v>3791034.49</v>
      </c>
    </row>
    <row r="50" spans="1:3" x14ac:dyDescent="0.2">
      <c r="A50" s="4" t="s">
        <v>223</v>
      </c>
    </row>
    <row r="52" spans="1:3" x14ac:dyDescent="0.2">
      <c r="A52" s="3" t="s">
        <v>38</v>
      </c>
      <c r="B52" s="3" t="s">
        <v>39</v>
      </c>
      <c r="C52" s="11" t="s">
        <v>240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0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1189099.73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200409.4</v>
      </c>
    </row>
    <row r="58" spans="1:3" x14ac:dyDescent="0.2">
      <c r="A58" s="103" t="s">
        <v>71</v>
      </c>
      <c r="B58" s="103"/>
      <c r="C58" s="10">
        <f>SUM(C53:C57)</f>
        <v>1389509.13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241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03" t="s">
        <v>71</v>
      </c>
      <c r="B65" s="103"/>
      <c r="C65" s="10">
        <f>SUM(C63:C64)</f>
        <v>0</v>
      </c>
    </row>
    <row r="66" spans="1:4" x14ac:dyDescent="0.2">
      <c r="A66" s="138" t="s">
        <v>289</v>
      </c>
      <c r="B66" s="138"/>
      <c r="C66" s="138"/>
    </row>
    <row r="68" spans="1:4" x14ac:dyDescent="0.2">
      <c r="A68" s="109" t="s">
        <v>99</v>
      </c>
      <c r="B68" s="109"/>
      <c r="C68" s="109"/>
    </row>
    <row r="70" spans="1:4" x14ac:dyDescent="0.2">
      <c r="A70" s="139" t="s">
        <v>170</v>
      </c>
      <c r="B70" s="140"/>
      <c r="C70" s="29">
        <v>8248328.1699999999</v>
      </c>
    </row>
    <row r="71" spans="1:4" x14ac:dyDescent="0.2">
      <c r="A71" s="111" t="s">
        <v>98</v>
      </c>
      <c r="B71" s="110"/>
      <c r="C71" s="27">
        <f>C17+C48+C58+C65</f>
        <v>8248328.1699999999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A81" sqref="A81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1" t="s">
        <v>188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09" t="s">
        <v>112</v>
      </c>
      <c r="C27" s="109"/>
    </row>
    <row r="29" spans="1:20" x14ac:dyDescent="0.2">
      <c r="B29" s="26" t="s">
        <v>116</v>
      </c>
      <c r="C29" s="53">
        <v>475478683.36000001</v>
      </c>
    </row>
    <row r="30" spans="1:20" x14ac:dyDescent="0.2">
      <c r="B30" s="26" t="s">
        <v>159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09" t="s">
        <v>113</v>
      </c>
      <c r="C35" s="109"/>
    </row>
    <row r="37" spans="2:7" x14ac:dyDescent="0.2">
      <c r="B37" s="26" t="s">
        <v>186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09" t="s">
        <v>114</v>
      </c>
      <c r="C42" s="109"/>
    </row>
    <row r="44" spans="2:7" x14ac:dyDescent="0.2">
      <c r="B44" s="26" t="s">
        <v>187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09" t="s">
        <v>115</v>
      </c>
      <c r="C48" s="109"/>
    </row>
    <row r="50" spans="2:3" x14ac:dyDescent="0.2">
      <c r="B50" s="26" t="s">
        <v>169</v>
      </c>
      <c r="C50" s="53">
        <v>52417680.460000001</v>
      </c>
    </row>
    <row r="51" spans="2:3" x14ac:dyDescent="0.2">
      <c r="B51" s="26" t="s">
        <v>168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18" t="s">
        <v>288</v>
      </c>
      <c r="B84" s="118"/>
      <c r="C84" s="118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A81" sqref="A81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216</v>
      </c>
      <c r="B1" t="s">
        <v>189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  <c r="O1" t="s">
        <v>203</v>
      </c>
      <c r="P1" t="s">
        <v>204</v>
      </c>
      <c r="Q1" t="s">
        <v>96</v>
      </c>
    </row>
    <row r="2" spans="1:17" x14ac:dyDescent="0.2">
      <c r="A2" t="s">
        <v>0</v>
      </c>
      <c r="B2" t="s">
        <v>246</v>
      </c>
      <c r="C2" t="s">
        <v>247</v>
      </c>
      <c r="D2" t="s">
        <v>290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364</v>
      </c>
    </row>
    <row r="3" spans="1:17" x14ac:dyDescent="0.2">
      <c r="A3" t="s">
        <v>0</v>
      </c>
      <c r="B3" t="s">
        <v>248</v>
      </c>
      <c r="C3" t="s">
        <v>247</v>
      </c>
      <c r="D3" t="s">
        <v>320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364</v>
      </c>
    </row>
    <row r="4" spans="1:17" x14ac:dyDescent="0.2">
      <c r="A4" t="s">
        <v>0</v>
      </c>
      <c r="B4" t="s">
        <v>249</v>
      </c>
      <c r="C4" t="s">
        <v>247</v>
      </c>
      <c r="D4" t="s">
        <v>299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364</v>
      </c>
    </row>
    <row r="5" spans="1:17" x14ac:dyDescent="0.2">
      <c r="A5" t="s">
        <v>0</v>
      </c>
      <c r="B5" t="s">
        <v>250</v>
      </c>
      <c r="C5" t="s">
        <v>247</v>
      </c>
      <c r="D5" t="s">
        <v>291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364</v>
      </c>
    </row>
    <row r="6" spans="1:17" x14ac:dyDescent="0.2">
      <c r="A6" t="s">
        <v>251</v>
      </c>
      <c r="B6" t="s">
        <v>252</v>
      </c>
      <c r="C6" t="s">
        <v>253</v>
      </c>
      <c r="D6" t="s">
        <v>314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364</v>
      </c>
    </row>
    <row r="7" spans="1:17" x14ac:dyDescent="0.2">
      <c r="A7" t="s">
        <v>251</v>
      </c>
      <c r="B7" t="s">
        <v>254</v>
      </c>
      <c r="C7" t="s">
        <v>253</v>
      </c>
      <c r="D7" t="s">
        <v>318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364</v>
      </c>
    </row>
    <row r="8" spans="1:17" x14ac:dyDescent="0.2">
      <c r="A8" t="s">
        <v>251</v>
      </c>
      <c r="B8" t="s">
        <v>255</v>
      </c>
      <c r="C8" t="s">
        <v>253</v>
      </c>
      <c r="D8" t="s">
        <v>317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364</v>
      </c>
    </row>
    <row r="9" spans="1:17" x14ac:dyDescent="0.2">
      <c r="A9" t="s">
        <v>251</v>
      </c>
      <c r="B9" t="s">
        <v>256</v>
      </c>
      <c r="C9" t="s">
        <v>253</v>
      </c>
      <c r="D9" t="s">
        <v>319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364</v>
      </c>
    </row>
    <row r="10" spans="1:17" x14ac:dyDescent="0.2">
      <c r="A10" t="s">
        <v>251</v>
      </c>
      <c r="B10" t="s">
        <v>257</v>
      </c>
      <c r="C10" t="s">
        <v>253</v>
      </c>
      <c r="D10" t="s">
        <v>302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364</v>
      </c>
    </row>
    <row r="11" spans="1:17" x14ac:dyDescent="0.2">
      <c r="A11" t="s">
        <v>251</v>
      </c>
      <c r="B11" t="s">
        <v>258</v>
      </c>
      <c r="C11" t="s">
        <v>253</v>
      </c>
      <c r="D11" t="s">
        <v>303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364</v>
      </c>
    </row>
    <row r="12" spans="1:17" x14ac:dyDescent="0.2">
      <c r="A12" t="s">
        <v>251</v>
      </c>
      <c r="B12" t="s">
        <v>259</v>
      </c>
      <c r="C12" t="s">
        <v>253</v>
      </c>
      <c r="D12" t="s">
        <v>323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364</v>
      </c>
    </row>
    <row r="13" spans="1:17" x14ac:dyDescent="0.2">
      <c r="A13" t="s">
        <v>251</v>
      </c>
      <c r="B13" t="s">
        <v>260</v>
      </c>
      <c r="C13" t="s">
        <v>253</v>
      </c>
      <c r="D13" t="s">
        <v>308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364</v>
      </c>
    </row>
    <row r="14" spans="1:17" x14ac:dyDescent="0.2">
      <c r="A14" t="s">
        <v>251</v>
      </c>
      <c r="B14" t="s">
        <v>261</v>
      </c>
      <c r="C14" t="s">
        <v>253</v>
      </c>
      <c r="D14" t="s">
        <v>311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364</v>
      </c>
    </row>
    <row r="15" spans="1:17" x14ac:dyDescent="0.2">
      <c r="A15" t="s">
        <v>251</v>
      </c>
      <c r="B15" t="s">
        <v>262</v>
      </c>
      <c r="C15" t="s">
        <v>253</v>
      </c>
      <c r="D15" t="s">
        <v>304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364</v>
      </c>
    </row>
    <row r="16" spans="1:17" x14ac:dyDescent="0.2">
      <c r="A16" t="s">
        <v>251</v>
      </c>
      <c r="B16" t="s">
        <v>263</v>
      </c>
      <c r="C16" t="s">
        <v>253</v>
      </c>
      <c r="D16" t="s">
        <v>305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364</v>
      </c>
    </row>
    <row r="17" spans="1:17" x14ac:dyDescent="0.2">
      <c r="A17" t="s">
        <v>251</v>
      </c>
      <c r="B17" t="s">
        <v>264</v>
      </c>
      <c r="C17" t="s">
        <v>253</v>
      </c>
      <c r="D17" t="s">
        <v>300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364</v>
      </c>
    </row>
    <row r="18" spans="1:17" x14ac:dyDescent="0.2">
      <c r="A18" t="s">
        <v>251</v>
      </c>
      <c r="B18" t="s">
        <v>265</v>
      </c>
      <c r="C18" t="s">
        <v>253</v>
      </c>
      <c r="D18" t="s">
        <v>315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364</v>
      </c>
    </row>
    <row r="19" spans="1:17" x14ac:dyDescent="0.2">
      <c r="A19" t="s">
        <v>251</v>
      </c>
      <c r="B19" t="s">
        <v>266</v>
      </c>
      <c r="C19" t="s">
        <v>253</v>
      </c>
      <c r="D19" t="s">
        <v>306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364</v>
      </c>
    </row>
    <row r="20" spans="1:17" x14ac:dyDescent="0.2">
      <c r="A20" t="s">
        <v>251</v>
      </c>
      <c r="B20" t="s">
        <v>267</v>
      </c>
      <c r="C20" t="s">
        <v>253</v>
      </c>
      <c r="D20" t="s">
        <v>309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364</v>
      </c>
    </row>
    <row r="21" spans="1:17" x14ac:dyDescent="0.2">
      <c r="A21" t="s">
        <v>251</v>
      </c>
      <c r="B21" t="s">
        <v>268</v>
      </c>
      <c r="C21" t="s">
        <v>253</v>
      </c>
      <c r="D21" t="s">
        <v>310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364</v>
      </c>
    </row>
    <row r="22" spans="1:17" x14ac:dyDescent="0.2">
      <c r="A22" t="s">
        <v>251</v>
      </c>
      <c r="B22" t="s">
        <v>269</v>
      </c>
      <c r="C22" t="s">
        <v>253</v>
      </c>
      <c r="D22" t="s">
        <v>307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364</v>
      </c>
    </row>
    <row r="23" spans="1:17" x14ac:dyDescent="0.2">
      <c r="A23" t="s">
        <v>251</v>
      </c>
      <c r="B23" t="s">
        <v>270</v>
      </c>
      <c r="C23" t="s">
        <v>253</v>
      </c>
      <c r="D23" t="s">
        <v>321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364</v>
      </c>
    </row>
    <row r="24" spans="1:17" x14ac:dyDescent="0.2">
      <c r="A24" t="s">
        <v>251</v>
      </c>
      <c r="B24" t="s">
        <v>271</v>
      </c>
      <c r="C24" t="s">
        <v>253</v>
      </c>
      <c r="D24" t="s">
        <v>322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364</v>
      </c>
    </row>
    <row r="25" spans="1:17" x14ac:dyDescent="0.2">
      <c r="A25" t="s">
        <v>251</v>
      </c>
      <c r="B25" t="s">
        <v>272</v>
      </c>
      <c r="C25" t="s">
        <v>253</v>
      </c>
      <c r="D25" t="s">
        <v>324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364</v>
      </c>
    </row>
    <row r="26" spans="1:17" x14ac:dyDescent="0.2">
      <c r="A26" t="s">
        <v>251</v>
      </c>
      <c r="B26" t="s">
        <v>273</v>
      </c>
      <c r="C26" t="s">
        <v>253</v>
      </c>
      <c r="D26" t="s">
        <v>326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364</v>
      </c>
    </row>
    <row r="27" spans="1:17" x14ac:dyDescent="0.2">
      <c r="A27" t="s">
        <v>251</v>
      </c>
      <c r="B27" t="s">
        <v>274</v>
      </c>
      <c r="C27" t="s">
        <v>253</v>
      </c>
      <c r="D27" t="s">
        <v>312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364</v>
      </c>
    </row>
    <row r="28" spans="1:17" x14ac:dyDescent="0.2">
      <c r="A28" t="s">
        <v>251</v>
      </c>
      <c r="B28" t="s">
        <v>275</v>
      </c>
      <c r="C28" t="s">
        <v>253</v>
      </c>
      <c r="D28" t="s">
        <v>316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364</v>
      </c>
    </row>
    <row r="29" spans="1:17" x14ac:dyDescent="0.2">
      <c r="A29" t="s">
        <v>251</v>
      </c>
      <c r="B29" t="s">
        <v>276</v>
      </c>
      <c r="C29" t="s">
        <v>253</v>
      </c>
      <c r="D29" t="s">
        <v>313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364</v>
      </c>
    </row>
    <row r="30" spans="1:17" x14ac:dyDescent="0.2">
      <c r="A30" t="s">
        <v>251</v>
      </c>
      <c r="B30" t="s">
        <v>277</v>
      </c>
      <c r="C30" t="s">
        <v>253</v>
      </c>
      <c r="D30" t="s">
        <v>292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364</v>
      </c>
    </row>
    <row r="31" spans="1:17" x14ac:dyDescent="0.2">
      <c r="A31" t="s">
        <v>251</v>
      </c>
      <c r="B31" t="s">
        <v>278</v>
      </c>
      <c r="C31" t="s">
        <v>253</v>
      </c>
      <c r="D31" t="s">
        <v>301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364</v>
      </c>
    </row>
    <row r="32" spans="1:17" x14ac:dyDescent="0.2">
      <c r="A32" t="s">
        <v>24</v>
      </c>
      <c r="B32" t="s">
        <v>279</v>
      </c>
      <c r="C32" t="s">
        <v>280</v>
      </c>
      <c r="D32" t="s">
        <v>293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364</v>
      </c>
    </row>
    <row r="33" spans="1:17" x14ac:dyDescent="0.2">
      <c r="A33" t="s">
        <v>24</v>
      </c>
      <c r="B33" t="s">
        <v>281</v>
      </c>
      <c r="C33" t="s">
        <v>280</v>
      </c>
      <c r="D33" t="s">
        <v>294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364</v>
      </c>
    </row>
    <row r="34" spans="1:17" x14ac:dyDescent="0.2">
      <c r="A34" t="s">
        <v>24</v>
      </c>
      <c r="B34" t="s">
        <v>282</v>
      </c>
      <c r="C34" t="s">
        <v>280</v>
      </c>
      <c r="D34" t="s">
        <v>295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364</v>
      </c>
    </row>
    <row r="35" spans="1:17" x14ac:dyDescent="0.2">
      <c r="A35" t="s">
        <v>24</v>
      </c>
      <c r="B35" t="s">
        <v>283</v>
      </c>
      <c r="C35" t="s">
        <v>280</v>
      </c>
      <c r="D35" t="s">
        <v>296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364</v>
      </c>
    </row>
    <row r="36" spans="1:17" x14ac:dyDescent="0.2">
      <c r="A36" t="s">
        <v>24</v>
      </c>
      <c r="B36" t="s">
        <v>284</v>
      </c>
      <c r="C36" t="s">
        <v>280</v>
      </c>
      <c r="D36" t="s">
        <v>325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364</v>
      </c>
    </row>
    <row r="37" spans="1:17" x14ac:dyDescent="0.2">
      <c r="A37" t="s">
        <v>29</v>
      </c>
      <c r="B37" t="s">
        <v>285</v>
      </c>
      <c r="C37" t="s">
        <v>286</v>
      </c>
      <c r="D37" t="s">
        <v>297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364</v>
      </c>
    </row>
    <row r="38" spans="1:17" x14ac:dyDescent="0.2">
      <c r="A38" t="s">
        <v>29</v>
      </c>
      <c r="B38" t="s">
        <v>287</v>
      </c>
      <c r="C38" t="s">
        <v>286</v>
      </c>
      <c r="D38" t="s">
        <v>298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364</v>
      </c>
    </row>
    <row r="84" spans="1:3" x14ac:dyDescent="0.2">
      <c r="A84" s="118" t="s">
        <v>288</v>
      </c>
      <c r="B84" s="118"/>
      <c r="C84" s="118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2" workbookViewId="0">
      <selection activeCell="O43" sqref="O43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216</v>
      </c>
      <c r="B1" t="s">
        <v>189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  <c r="O1" t="s">
        <v>203</v>
      </c>
      <c r="P1" t="s">
        <v>204</v>
      </c>
      <c r="Q1" t="s">
        <v>96</v>
      </c>
    </row>
    <row r="2" spans="1:17" x14ac:dyDescent="0.2">
      <c r="A2" t="s">
        <v>0</v>
      </c>
      <c r="B2" t="s">
        <v>246</v>
      </c>
      <c r="C2" t="s">
        <v>247</v>
      </c>
      <c r="D2" t="s">
        <v>290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366</v>
      </c>
    </row>
    <row r="3" spans="1:17" x14ac:dyDescent="0.2">
      <c r="A3" t="s">
        <v>0</v>
      </c>
      <c r="B3" t="s">
        <v>248</v>
      </c>
      <c r="C3" t="s">
        <v>247</v>
      </c>
      <c r="D3" t="s">
        <v>320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366</v>
      </c>
    </row>
    <row r="4" spans="1:17" x14ac:dyDescent="0.2">
      <c r="A4" t="s">
        <v>0</v>
      </c>
      <c r="B4" t="s">
        <v>249</v>
      </c>
      <c r="C4" t="s">
        <v>247</v>
      </c>
      <c r="D4" t="s">
        <v>299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366</v>
      </c>
    </row>
    <row r="5" spans="1:17" x14ac:dyDescent="0.2">
      <c r="A5" t="s">
        <v>0</v>
      </c>
      <c r="B5" t="s">
        <v>250</v>
      </c>
      <c r="C5" t="s">
        <v>247</v>
      </c>
      <c r="D5" t="s">
        <v>291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366</v>
      </c>
    </row>
    <row r="6" spans="1:17" x14ac:dyDescent="0.2">
      <c r="A6" t="s">
        <v>251</v>
      </c>
      <c r="B6" t="s">
        <v>252</v>
      </c>
      <c r="C6" t="s">
        <v>253</v>
      </c>
      <c r="D6" t="s">
        <v>314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366</v>
      </c>
    </row>
    <row r="7" spans="1:17" x14ac:dyDescent="0.2">
      <c r="A7" t="s">
        <v>251</v>
      </c>
      <c r="B7" t="s">
        <v>254</v>
      </c>
      <c r="C7" t="s">
        <v>253</v>
      </c>
      <c r="D7" t="s">
        <v>318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366</v>
      </c>
    </row>
    <row r="8" spans="1:17" x14ac:dyDescent="0.2">
      <c r="A8" t="s">
        <v>251</v>
      </c>
      <c r="B8" t="s">
        <v>255</v>
      </c>
      <c r="C8" t="s">
        <v>253</v>
      </c>
      <c r="D8" t="s">
        <v>317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366</v>
      </c>
    </row>
    <row r="9" spans="1:17" x14ac:dyDescent="0.2">
      <c r="A9" t="s">
        <v>251</v>
      </c>
      <c r="B9" t="s">
        <v>256</v>
      </c>
      <c r="C9" t="s">
        <v>253</v>
      </c>
      <c r="D9" t="s">
        <v>327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366</v>
      </c>
    </row>
    <row r="10" spans="1:17" x14ac:dyDescent="0.2">
      <c r="A10" t="s">
        <v>251</v>
      </c>
      <c r="B10" t="s">
        <v>257</v>
      </c>
      <c r="C10" t="s">
        <v>253</v>
      </c>
      <c r="D10" t="s">
        <v>302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365</v>
      </c>
    </row>
    <row r="11" spans="1:17" x14ac:dyDescent="0.2">
      <c r="A11" t="s">
        <v>251</v>
      </c>
      <c r="B11" t="s">
        <v>258</v>
      </c>
      <c r="C11" t="s">
        <v>253</v>
      </c>
      <c r="D11" t="s">
        <v>303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365</v>
      </c>
    </row>
    <row r="12" spans="1:17" x14ac:dyDescent="0.2">
      <c r="A12" t="s">
        <v>251</v>
      </c>
      <c r="B12" t="s">
        <v>259</v>
      </c>
      <c r="C12" t="s">
        <v>253</v>
      </c>
      <c r="D12" t="s">
        <v>323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366</v>
      </c>
    </row>
    <row r="13" spans="1:17" x14ac:dyDescent="0.2">
      <c r="A13" t="s">
        <v>251</v>
      </c>
      <c r="B13" t="s">
        <v>260</v>
      </c>
      <c r="C13" t="s">
        <v>253</v>
      </c>
      <c r="D13" t="s">
        <v>308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366</v>
      </c>
    </row>
    <row r="14" spans="1:17" x14ac:dyDescent="0.2">
      <c r="A14" t="s">
        <v>251</v>
      </c>
      <c r="B14" t="s">
        <v>261</v>
      </c>
      <c r="C14" t="s">
        <v>253</v>
      </c>
      <c r="D14" t="s">
        <v>311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366</v>
      </c>
    </row>
    <row r="15" spans="1:17" x14ac:dyDescent="0.2">
      <c r="A15" t="s">
        <v>251</v>
      </c>
      <c r="B15" t="s">
        <v>262</v>
      </c>
      <c r="C15" t="s">
        <v>253</v>
      </c>
      <c r="D15" t="s">
        <v>304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366</v>
      </c>
    </row>
    <row r="16" spans="1:17" x14ac:dyDescent="0.2">
      <c r="A16" t="s">
        <v>251</v>
      </c>
      <c r="B16" t="s">
        <v>263</v>
      </c>
      <c r="C16" t="s">
        <v>253</v>
      </c>
      <c r="D16" t="s">
        <v>305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366</v>
      </c>
    </row>
    <row r="17" spans="1:17" x14ac:dyDescent="0.2">
      <c r="A17" t="s">
        <v>251</v>
      </c>
      <c r="B17" t="s">
        <v>264</v>
      </c>
      <c r="C17" t="s">
        <v>253</v>
      </c>
      <c r="D17" t="s">
        <v>300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366</v>
      </c>
    </row>
    <row r="18" spans="1:17" x14ac:dyDescent="0.2">
      <c r="A18" t="s">
        <v>251</v>
      </c>
      <c r="B18" t="s">
        <v>265</v>
      </c>
      <c r="C18" t="s">
        <v>253</v>
      </c>
      <c r="D18" t="s">
        <v>315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366</v>
      </c>
    </row>
    <row r="19" spans="1:17" x14ac:dyDescent="0.2">
      <c r="A19" t="s">
        <v>251</v>
      </c>
      <c r="B19" t="s">
        <v>266</v>
      </c>
      <c r="C19" t="s">
        <v>253</v>
      </c>
      <c r="D19" t="s">
        <v>306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366</v>
      </c>
    </row>
    <row r="20" spans="1:17" x14ac:dyDescent="0.2">
      <c r="A20" t="s">
        <v>251</v>
      </c>
      <c r="B20" t="s">
        <v>267</v>
      </c>
      <c r="C20" t="s">
        <v>253</v>
      </c>
      <c r="D20" t="s">
        <v>309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366</v>
      </c>
    </row>
    <row r="21" spans="1:17" x14ac:dyDescent="0.2">
      <c r="A21" t="s">
        <v>251</v>
      </c>
      <c r="B21" t="s">
        <v>268</v>
      </c>
      <c r="C21" t="s">
        <v>253</v>
      </c>
      <c r="D21" t="s">
        <v>310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366</v>
      </c>
    </row>
    <row r="22" spans="1:17" x14ac:dyDescent="0.2">
      <c r="A22" t="s">
        <v>251</v>
      </c>
      <c r="B22" t="s">
        <v>269</v>
      </c>
      <c r="C22" t="s">
        <v>253</v>
      </c>
      <c r="D22" t="s">
        <v>307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366</v>
      </c>
    </row>
    <row r="23" spans="1:17" x14ac:dyDescent="0.2">
      <c r="A23" t="s">
        <v>251</v>
      </c>
      <c r="B23" t="s">
        <v>270</v>
      </c>
      <c r="C23" t="s">
        <v>253</v>
      </c>
      <c r="D23" t="s">
        <v>321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365</v>
      </c>
    </row>
    <row r="24" spans="1:17" x14ac:dyDescent="0.2">
      <c r="A24" t="s">
        <v>251</v>
      </c>
      <c r="B24" t="s">
        <v>271</v>
      </c>
      <c r="C24" t="s">
        <v>253</v>
      </c>
      <c r="D24" t="s">
        <v>322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366</v>
      </c>
    </row>
    <row r="25" spans="1:17" x14ac:dyDescent="0.2">
      <c r="A25" t="s">
        <v>251</v>
      </c>
      <c r="B25" t="s">
        <v>272</v>
      </c>
      <c r="C25" t="s">
        <v>253</v>
      </c>
      <c r="D25" t="s">
        <v>324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366</v>
      </c>
    </row>
    <row r="26" spans="1:17" x14ac:dyDescent="0.2">
      <c r="A26" t="s">
        <v>251</v>
      </c>
      <c r="B26" t="s">
        <v>273</v>
      </c>
      <c r="C26" t="s">
        <v>253</v>
      </c>
      <c r="D26" t="s">
        <v>326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366</v>
      </c>
    </row>
    <row r="27" spans="1:17" x14ac:dyDescent="0.2">
      <c r="A27" t="s">
        <v>251</v>
      </c>
      <c r="B27" t="s">
        <v>274</v>
      </c>
      <c r="C27" t="s">
        <v>253</v>
      </c>
      <c r="D27" t="s">
        <v>312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366</v>
      </c>
    </row>
    <row r="28" spans="1:17" x14ac:dyDescent="0.2">
      <c r="A28" t="s">
        <v>251</v>
      </c>
      <c r="B28" t="s">
        <v>275</v>
      </c>
      <c r="C28" t="s">
        <v>253</v>
      </c>
      <c r="D28" t="s">
        <v>316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366</v>
      </c>
    </row>
    <row r="29" spans="1:17" x14ac:dyDescent="0.2">
      <c r="A29" t="s">
        <v>251</v>
      </c>
      <c r="B29" t="s">
        <v>276</v>
      </c>
      <c r="C29" t="s">
        <v>253</v>
      </c>
      <c r="D29" t="s">
        <v>313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366</v>
      </c>
    </row>
    <row r="30" spans="1:17" x14ac:dyDescent="0.2">
      <c r="A30" t="s">
        <v>251</v>
      </c>
      <c r="B30" t="s">
        <v>277</v>
      </c>
      <c r="C30" t="s">
        <v>253</v>
      </c>
      <c r="D30" t="s">
        <v>328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366</v>
      </c>
    </row>
    <row r="31" spans="1:17" x14ac:dyDescent="0.2">
      <c r="A31" t="s">
        <v>251</v>
      </c>
      <c r="B31" t="s">
        <v>278</v>
      </c>
      <c r="C31" t="s">
        <v>253</v>
      </c>
      <c r="D31" t="s">
        <v>301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365</v>
      </c>
    </row>
    <row r="32" spans="1:17" x14ac:dyDescent="0.2">
      <c r="A32" t="s">
        <v>24</v>
      </c>
      <c r="B32" t="s">
        <v>279</v>
      </c>
      <c r="C32" t="s">
        <v>280</v>
      </c>
      <c r="D32" t="s">
        <v>293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366</v>
      </c>
    </row>
    <row r="33" spans="1:17" x14ac:dyDescent="0.2">
      <c r="A33" t="s">
        <v>24</v>
      </c>
      <c r="B33" t="s">
        <v>281</v>
      </c>
      <c r="C33" t="s">
        <v>280</v>
      </c>
      <c r="D33" t="s">
        <v>294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366</v>
      </c>
    </row>
    <row r="34" spans="1:17" x14ac:dyDescent="0.2">
      <c r="A34" t="s">
        <v>24</v>
      </c>
      <c r="B34" t="s">
        <v>282</v>
      </c>
      <c r="C34" t="s">
        <v>280</v>
      </c>
      <c r="D34" t="s">
        <v>295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366</v>
      </c>
    </row>
    <row r="35" spans="1:17" x14ac:dyDescent="0.2">
      <c r="A35" t="s">
        <v>24</v>
      </c>
      <c r="B35" t="s">
        <v>283</v>
      </c>
      <c r="C35" t="s">
        <v>280</v>
      </c>
      <c r="D35" t="s">
        <v>296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366</v>
      </c>
    </row>
    <row r="36" spans="1:17" x14ac:dyDescent="0.2">
      <c r="A36" t="s">
        <v>24</v>
      </c>
      <c r="B36" t="s">
        <v>284</v>
      </c>
      <c r="C36" t="s">
        <v>280</v>
      </c>
      <c r="D36" t="s">
        <v>325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366</v>
      </c>
    </row>
    <row r="37" spans="1:17" x14ac:dyDescent="0.2">
      <c r="A37" t="s">
        <v>29</v>
      </c>
      <c r="B37" t="s">
        <v>285</v>
      </c>
      <c r="C37" t="s">
        <v>286</v>
      </c>
      <c r="D37" t="s">
        <v>297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366</v>
      </c>
    </row>
    <row r="38" spans="1:17" x14ac:dyDescent="0.2">
      <c r="A38" t="s">
        <v>29</v>
      </c>
      <c r="B38" t="s">
        <v>287</v>
      </c>
      <c r="C38" t="s">
        <v>286</v>
      </c>
      <c r="D38" t="s">
        <v>298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366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O43" sqref="O43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189</v>
      </c>
      <c r="B1" t="s">
        <v>190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  <c r="O1" t="s">
        <v>203</v>
      </c>
      <c r="P1" t="s">
        <v>204</v>
      </c>
      <c r="Q1" t="s">
        <v>205</v>
      </c>
      <c r="R1" t="s">
        <v>96</v>
      </c>
    </row>
    <row r="2" spans="1:18" x14ac:dyDescent="0.2">
      <c r="A2" t="s">
        <v>206</v>
      </c>
      <c r="B2" t="s">
        <v>207</v>
      </c>
      <c r="C2" t="s">
        <v>208</v>
      </c>
      <c r="D2" t="s">
        <v>209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362</v>
      </c>
    </row>
    <row r="3" spans="1:18" x14ac:dyDescent="0.2">
      <c r="A3" t="s">
        <v>210</v>
      </c>
      <c r="B3" t="s">
        <v>211</v>
      </c>
      <c r="C3" t="s">
        <v>208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362</v>
      </c>
    </row>
    <row r="4" spans="1:18" x14ac:dyDescent="0.2">
      <c r="A4" t="s">
        <v>212</v>
      </c>
      <c r="B4" t="s">
        <v>334</v>
      </c>
      <c r="C4" t="s">
        <v>208</v>
      </c>
      <c r="D4" t="s">
        <v>213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362</v>
      </c>
    </row>
    <row r="5" spans="1:18" x14ac:dyDescent="0.2">
      <c r="A5" t="s">
        <v>214</v>
      </c>
      <c r="D5" t="s">
        <v>331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362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O43" sqref="O43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189</v>
      </c>
      <c r="B1" t="s">
        <v>190</v>
      </c>
      <c r="C1" t="s">
        <v>191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  <c r="O1" t="s">
        <v>203</v>
      </c>
      <c r="P1" t="s">
        <v>204</v>
      </c>
      <c r="Q1" t="s">
        <v>205</v>
      </c>
      <c r="R1" t="s">
        <v>96</v>
      </c>
    </row>
    <row r="2" spans="1:18" x14ac:dyDescent="0.2">
      <c r="A2" t="s">
        <v>206</v>
      </c>
      <c r="D2" t="s">
        <v>329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363</v>
      </c>
    </row>
    <row r="3" spans="1:18" x14ac:dyDescent="0.2">
      <c r="A3" t="s">
        <v>210</v>
      </c>
      <c r="B3" t="s">
        <v>211</v>
      </c>
      <c r="C3" t="s">
        <v>208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363</v>
      </c>
    </row>
    <row r="4" spans="1:18" x14ac:dyDescent="0.2">
      <c r="A4" t="s">
        <v>212</v>
      </c>
      <c r="D4" t="s">
        <v>330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363</v>
      </c>
    </row>
    <row r="5" spans="1:18" x14ac:dyDescent="0.2">
      <c r="A5" t="s">
        <v>214</v>
      </c>
      <c r="D5" t="s">
        <v>331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363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O43" sqref="O43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117</v>
      </c>
      <c r="B1" s="1" t="s">
        <v>118</v>
      </c>
      <c r="C1" s="1" t="s">
        <v>119</v>
      </c>
      <c r="D1" s="1" t="s">
        <v>78</v>
      </c>
      <c r="E1" s="1" t="s">
        <v>120</v>
      </c>
      <c r="F1" s="1" t="s">
        <v>79</v>
      </c>
      <c r="G1" s="1" t="s">
        <v>121</v>
      </c>
      <c r="H1" s="1" t="s">
        <v>80</v>
      </c>
      <c r="I1" s="1" t="s">
        <v>81</v>
      </c>
      <c r="J1" s="1" t="s">
        <v>122</v>
      </c>
      <c r="K1" s="1" t="s">
        <v>123</v>
      </c>
      <c r="L1" s="1" t="s">
        <v>124</v>
      </c>
      <c r="M1" s="1" t="s">
        <v>82</v>
      </c>
      <c r="N1" s="1" t="s">
        <v>125</v>
      </c>
      <c r="O1" s="1" t="s">
        <v>171</v>
      </c>
      <c r="P1" s="1" t="s">
        <v>172</v>
      </c>
      <c r="Q1" s="1" t="s">
        <v>173</v>
      </c>
      <c r="R1" s="1" t="s">
        <v>83</v>
      </c>
      <c r="S1" s="1" t="s">
        <v>126</v>
      </c>
      <c r="T1" s="1" t="s">
        <v>174</v>
      </c>
      <c r="U1" s="1" t="s">
        <v>175</v>
      </c>
      <c r="V1" s="1" t="s">
        <v>176</v>
      </c>
      <c r="W1" s="1" t="s">
        <v>84</v>
      </c>
      <c r="X1" s="1" t="s">
        <v>127</v>
      </c>
      <c r="Y1" s="1" t="s">
        <v>177</v>
      </c>
      <c r="Z1" s="1" t="s">
        <v>178</v>
      </c>
      <c r="AA1" s="1" t="s">
        <v>85</v>
      </c>
      <c r="AB1" s="1" t="s">
        <v>128</v>
      </c>
      <c r="AC1" s="1" t="s">
        <v>96</v>
      </c>
    </row>
    <row r="2" spans="1:29" x14ac:dyDescent="0.2">
      <c r="A2" t="s">
        <v>179</v>
      </c>
      <c r="B2" t="s">
        <v>180</v>
      </c>
      <c r="C2" t="s">
        <v>138</v>
      </c>
      <c r="D2" t="s">
        <v>131</v>
      </c>
      <c r="E2" t="s">
        <v>181</v>
      </c>
      <c r="F2" t="s">
        <v>132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182</v>
      </c>
    </row>
    <row r="3" spans="1:29" x14ac:dyDescent="0.2">
      <c r="A3" t="s">
        <v>129</v>
      </c>
      <c r="B3" t="s">
        <v>166</v>
      </c>
      <c r="C3" t="s">
        <v>130</v>
      </c>
      <c r="D3" t="s">
        <v>131</v>
      </c>
      <c r="E3" t="s">
        <v>0</v>
      </c>
      <c r="F3" t="s">
        <v>132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182</v>
      </c>
    </row>
    <row r="4" spans="1:29" x14ac:dyDescent="0.2">
      <c r="A4" t="s">
        <v>129</v>
      </c>
      <c r="B4" t="s">
        <v>167</v>
      </c>
      <c r="C4" t="s">
        <v>130</v>
      </c>
      <c r="D4" t="s">
        <v>131</v>
      </c>
      <c r="E4" t="s">
        <v>24</v>
      </c>
      <c r="F4" t="s">
        <v>132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182</v>
      </c>
    </row>
    <row r="5" spans="1:29" x14ac:dyDescent="0.2">
      <c r="A5" t="s">
        <v>129</v>
      </c>
      <c r="B5" t="s">
        <v>167</v>
      </c>
      <c r="C5" t="s">
        <v>130</v>
      </c>
      <c r="D5" t="s">
        <v>131</v>
      </c>
      <c r="E5" t="s">
        <v>24</v>
      </c>
      <c r="F5" t="s">
        <v>133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182</v>
      </c>
    </row>
    <row r="6" spans="1:29" x14ac:dyDescent="0.2">
      <c r="A6" t="s">
        <v>129</v>
      </c>
      <c r="B6" t="s">
        <v>167</v>
      </c>
      <c r="C6" t="s">
        <v>130</v>
      </c>
      <c r="D6" t="s">
        <v>131</v>
      </c>
      <c r="E6" t="s">
        <v>29</v>
      </c>
      <c r="F6" t="s">
        <v>132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182</v>
      </c>
    </row>
    <row r="7" spans="1:29" x14ac:dyDescent="0.2">
      <c r="A7" t="s">
        <v>134</v>
      </c>
      <c r="B7" t="s">
        <v>135</v>
      </c>
      <c r="C7" t="s">
        <v>136</v>
      </c>
      <c r="D7" t="s">
        <v>131</v>
      </c>
      <c r="E7" t="s">
        <v>24</v>
      </c>
      <c r="F7" t="s">
        <v>132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182</v>
      </c>
    </row>
    <row r="8" spans="1:29" x14ac:dyDescent="0.2">
      <c r="A8" t="s">
        <v>225</v>
      </c>
      <c r="B8" t="s">
        <v>226</v>
      </c>
      <c r="C8" t="s">
        <v>227</v>
      </c>
      <c r="D8" t="s">
        <v>131</v>
      </c>
      <c r="E8" t="s">
        <v>24</v>
      </c>
      <c r="F8" t="s">
        <v>132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182</v>
      </c>
    </row>
    <row r="9" spans="1:29" x14ac:dyDescent="0.2">
      <c r="A9" t="s">
        <v>225</v>
      </c>
      <c r="B9" t="s">
        <v>226</v>
      </c>
      <c r="C9" t="s">
        <v>227</v>
      </c>
      <c r="D9" t="s">
        <v>131</v>
      </c>
      <c r="E9" t="s">
        <v>29</v>
      </c>
      <c r="F9" t="s">
        <v>132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182</v>
      </c>
    </row>
    <row r="10" spans="1:29" x14ac:dyDescent="0.2">
      <c r="A10" t="s">
        <v>137</v>
      </c>
      <c r="B10" t="s">
        <v>183</v>
      </c>
      <c r="C10" t="s">
        <v>138</v>
      </c>
      <c r="D10" t="s">
        <v>131</v>
      </c>
      <c r="E10" t="s">
        <v>29</v>
      </c>
      <c r="F10" t="s">
        <v>132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182</v>
      </c>
    </row>
    <row r="11" spans="1:29" x14ac:dyDescent="0.2">
      <c r="A11" t="s">
        <v>139</v>
      </c>
      <c r="B11" t="s">
        <v>140</v>
      </c>
      <c r="C11" t="s">
        <v>141</v>
      </c>
      <c r="D11" t="s">
        <v>131</v>
      </c>
      <c r="E11" t="s">
        <v>24</v>
      </c>
      <c r="F11" t="s">
        <v>132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182</v>
      </c>
    </row>
    <row r="12" spans="1:29" x14ac:dyDescent="0.2">
      <c r="A12" t="s">
        <v>142</v>
      </c>
      <c r="B12" t="s">
        <v>143</v>
      </c>
      <c r="C12" t="s">
        <v>144</v>
      </c>
      <c r="D12" t="s">
        <v>131</v>
      </c>
      <c r="E12" t="s">
        <v>24</v>
      </c>
      <c r="F12" t="s">
        <v>132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182</v>
      </c>
    </row>
    <row r="13" spans="1:29" x14ac:dyDescent="0.2">
      <c r="A13" t="s">
        <v>145</v>
      </c>
      <c r="B13" t="s">
        <v>146</v>
      </c>
      <c r="C13" t="s">
        <v>147</v>
      </c>
      <c r="D13" t="s">
        <v>131</v>
      </c>
      <c r="E13" t="s">
        <v>24</v>
      </c>
      <c r="F13" t="s">
        <v>132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182</v>
      </c>
    </row>
    <row r="14" spans="1:29" x14ac:dyDescent="0.2">
      <c r="A14" t="s">
        <v>148</v>
      </c>
      <c r="B14" t="s">
        <v>149</v>
      </c>
      <c r="C14" t="s">
        <v>150</v>
      </c>
      <c r="D14" t="s">
        <v>151</v>
      </c>
      <c r="E14" t="s">
        <v>29</v>
      </c>
      <c r="F14" t="s">
        <v>132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182</v>
      </c>
    </row>
    <row r="15" spans="1:29" x14ac:dyDescent="0.2">
      <c r="A15" t="s">
        <v>148</v>
      </c>
      <c r="B15" t="s">
        <v>149</v>
      </c>
      <c r="C15" t="s">
        <v>150</v>
      </c>
      <c r="D15" t="s">
        <v>151</v>
      </c>
      <c r="E15" t="s">
        <v>24</v>
      </c>
      <c r="F15" t="s">
        <v>132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182</v>
      </c>
    </row>
    <row r="16" spans="1:29" x14ac:dyDescent="0.2">
      <c r="A16" t="s">
        <v>228</v>
      </c>
      <c r="B16" t="s">
        <v>229</v>
      </c>
      <c r="C16" t="s">
        <v>138</v>
      </c>
      <c r="D16" t="s">
        <v>131</v>
      </c>
      <c r="E16" t="s">
        <v>181</v>
      </c>
      <c r="F16" t="s">
        <v>132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182</v>
      </c>
    </row>
    <row r="17" spans="1:29" x14ac:dyDescent="0.2">
      <c r="A17" t="s">
        <v>184</v>
      </c>
      <c r="B17" t="s">
        <v>185</v>
      </c>
      <c r="C17" t="s">
        <v>138</v>
      </c>
      <c r="D17" t="s">
        <v>131</v>
      </c>
      <c r="E17" t="s">
        <v>29</v>
      </c>
      <c r="F17" t="s">
        <v>132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182</v>
      </c>
    </row>
    <row r="18" spans="1:29" x14ac:dyDescent="0.2">
      <c r="A18" t="s">
        <v>152</v>
      </c>
      <c r="B18" t="s">
        <v>153</v>
      </c>
      <c r="C18" t="s">
        <v>138</v>
      </c>
      <c r="D18" t="s">
        <v>131</v>
      </c>
      <c r="E18" t="s">
        <v>0</v>
      </c>
      <c r="F18" t="s">
        <v>132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182</v>
      </c>
    </row>
    <row r="19" spans="1:29" x14ac:dyDescent="0.2">
      <c r="A19" t="s">
        <v>154</v>
      </c>
      <c r="B19" t="s">
        <v>155</v>
      </c>
      <c r="C19" t="s">
        <v>156</v>
      </c>
      <c r="D19" t="s">
        <v>151</v>
      </c>
      <c r="E19" t="s">
        <v>0</v>
      </c>
      <c r="F19" t="s">
        <v>132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182</v>
      </c>
    </row>
    <row r="20" spans="1:29" x14ac:dyDescent="0.2">
      <c r="A20" t="s">
        <v>154</v>
      </c>
      <c r="B20" t="s">
        <v>155</v>
      </c>
      <c r="C20" t="s">
        <v>156</v>
      </c>
      <c r="D20" t="s">
        <v>151</v>
      </c>
      <c r="E20" t="s">
        <v>0</v>
      </c>
      <c r="F20" t="s">
        <v>158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182</v>
      </c>
    </row>
    <row r="21" spans="1:29" x14ac:dyDescent="0.2">
      <c r="A21" t="s">
        <v>154</v>
      </c>
      <c r="B21" t="s">
        <v>155</v>
      </c>
      <c r="C21" t="s">
        <v>156</v>
      </c>
      <c r="D21" t="s">
        <v>151</v>
      </c>
      <c r="E21" t="s">
        <v>0</v>
      </c>
      <c r="F21" t="s">
        <v>157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3" sqref="O4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O43" sqref="O43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215</v>
      </c>
    </row>
    <row r="2" spans="1:13" ht="13.5" thickBot="1" x14ac:dyDescent="0.25"/>
    <row r="3" spans="1:13" ht="13.5" thickBot="1" x14ac:dyDescent="0.25">
      <c r="A3" s="35"/>
      <c r="B3" s="36" t="s">
        <v>160</v>
      </c>
      <c r="C3" s="37" t="s">
        <v>161</v>
      </c>
      <c r="D3" s="37" t="s">
        <v>162</v>
      </c>
      <c r="E3" s="37" t="s">
        <v>163</v>
      </c>
      <c r="F3" s="37" t="s">
        <v>164</v>
      </c>
      <c r="G3" s="38" t="s">
        <v>165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O43" sqref="O43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216</v>
      </c>
      <c r="B1" t="s">
        <v>189</v>
      </c>
      <c r="C1" t="s">
        <v>191</v>
      </c>
      <c r="D1" t="s">
        <v>192</v>
      </c>
      <c r="E1" s="24" t="s">
        <v>230</v>
      </c>
      <c r="F1" t="s">
        <v>96</v>
      </c>
    </row>
    <row r="2" spans="1:6" x14ac:dyDescent="0.2">
      <c r="A2" t="s">
        <v>0</v>
      </c>
      <c r="B2" t="s">
        <v>246</v>
      </c>
      <c r="C2" t="s">
        <v>247</v>
      </c>
      <c r="D2" t="s">
        <v>290</v>
      </c>
      <c r="E2" s="24">
        <v>2628532</v>
      </c>
      <c r="F2" t="s">
        <v>342</v>
      </c>
    </row>
    <row r="3" spans="1:6" x14ac:dyDescent="0.2">
      <c r="A3" t="s">
        <v>0</v>
      </c>
      <c r="B3" t="s">
        <v>248</v>
      </c>
      <c r="C3" t="s">
        <v>247</v>
      </c>
      <c r="D3" t="s">
        <v>320</v>
      </c>
      <c r="E3" s="24">
        <v>14442.48</v>
      </c>
      <c r="F3" t="s">
        <v>342</v>
      </c>
    </row>
    <row r="4" spans="1:6" x14ac:dyDescent="0.2">
      <c r="A4" t="s">
        <v>0</v>
      </c>
      <c r="B4" t="s">
        <v>249</v>
      </c>
      <c r="C4" t="s">
        <v>247</v>
      </c>
      <c r="D4" t="s">
        <v>299</v>
      </c>
      <c r="E4" s="24">
        <v>424810.07</v>
      </c>
      <c r="F4" t="s">
        <v>342</v>
      </c>
    </row>
    <row r="5" spans="1:6" x14ac:dyDescent="0.2">
      <c r="A5" t="s">
        <v>0</v>
      </c>
      <c r="B5" t="s">
        <v>250</v>
      </c>
      <c r="C5" t="s">
        <v>247</v>
      </c>
      <c r="D5" t="s">
        <v>291</v>
      </c>
      <c r="E5" s="24">
        <v>0</v>
      </c>
      <c r="F5" t="s">
        <v>342</v>
      </c>
    </row>
    <row r="6" spans="1:6" x14ac:dyDescent="0.2">
      <c r="A6" t="s">
        <v>251</v>
      </c>
      <c r="B6" t="s">
        <v>252</v>
      </c>
      <c r="C6" t="s">
        <v>253</v>
      </c>
      <c r="D6" t="s">
        <v>314</v>
      </c>
      <c r="E6" s="24">
        <v>15544</v>
      </c>
      <c r="F6" t="s">
        <v>342</v>
      </c>
    </row>
    <row r="7" spans="1:6" x14ac:dyDescent="0.2">
      <c r="A7" t="s">
        <v>251</v>
      </c>
      <c r="B7" t="s">
        <v>254</v>
      </c>
      <c r="C7" t="s">
        <v>253</v>
      </c>
      <c r="D7" t="s">
        <v>318</v>
      </c>
      <c r="E7" s="24">
        <v>7785.81</v>
      </c>
      <c r="F7" t="s">
        <v>342</v>
      </c>
    </row>
    <row r="8" spans="1:6" x14ac:dyDescent="0.2">
      <c r="A8" t="s">
        <v>251</v>
      </c>
      <c r="B8" t="s">
        <v>255</v>
      </c>
      <c r="C8" t="s">
        <v>253</v>
      </c>
      <c r="D8" t="s">
        <v>317</v>
      </c>
      <c r="E8" s="24">
        <v>28483.67</v>
      </c>
      <c r="F8" t="s">
        <v>342</v>
      </c>
    </row>
    <row r="9" spans="1:6" x14ac:dyDescent="0.2">
      <c r="A9" t="s">
        <v>251</v>
      </c>
      <c r="B9" t="s">
        <v>256</v>
      </c>
      <c r="C9" t="s">
        <v>253</v>
      </c>
      <c r="D9" t="s">
        <v>319</v>
      </c>
      <c r="E9" s="24">
        <v>148350.43</v>
      </c>
      <c r="F9" t="s">
        <v>342</v>
      </c>
    </row>
    <row r="10" spans="1:6" x14ac:dyDescent="0.2">
      <c r="A10" t="s">
        <v>251</v>
      </c>
      <c r="B10" t="s">
        <v>257</v>
      </c>
      <c r="C10" t="s">
        <v>253</v>
      </c>
      <c r="D10" t="s">
        <v>302</v>
      </c>
      <c r="E10" s="24">
        <v>0</v>
      </c>
      <c r="F10" t="s">
        <v>342</v>
      </c>
    </row>
    <row r="11" spans="1:6" x14ac:dyDescent="0.2">
      <c r="A11" t="s">
        <v>251</v>
      </c>
      <c r="B11" t="s">
        <v>258</v>
      </c>
      <c r="C11" t="s">
        <v>253</v>
      </c>
      <c r="D11" t="s">
        <v>303</v>
      </c>
      <c r="E11" s="24">
        <v>800</v>
      </c>
      <c r="F11" t="s">
        <v>342</v>
      </c>
    </row>
    <row r="12" spans="1:6" x14ac:dyDescent="0.2">
      <c r="A12" t="s">
        <v>251</v>
      </c>
      <c r="B12" t="s">
        <v>259</v>
      </c>
      <c r="C12" t="s">
        <v>253</v>
      </c>
      <c r="D12" t="s">
        <v>323</v>
      </c>
      <c r="E12" s="24">
        <v>0</v>
      </c>
      <c r="F12" t="s">
        <v>342</v>
      </c>
    </row>
    <row r="13" spans="1:6" x14ac:dyDescent="0.2">
      <c r="A13" t="s">
        <v>251</v>
      </c>
      <c r="B13" t="s">
        <v>260</v>
      </c>
      <c r="C13" t="s">
        <v>253</v>
      </c>
      <c r="D13" t="s">
        <v>308</v>
      </c>
      <c r="E13" s="24">
        <v>0</v>
      </c>
      <c r="F13" t="s">
        <v>342</v>
      </c>
    </row>
    <row r="14" spans="1:6" x14ac:dyDescent="0.2">
      <c r="A14" t="s">
        <v>251</v>
      </c>
      <c r="B14" t="s">
        <v>261</v>
      </c>
      <c r="C14" t="s">
        <v>253</v>
      </c>
      <c r="D14" t="s">
        <v>311</v>
      </c>
      <c r="E14" s="24">
        <v>130000</v>
      </c>
      <c r="F14" t="s">
        <v>342</v>
      </c>
    </row>
    <row r="15" spans="1:6" x14ac:dyDescent="0.2">
      <c r="A15" t="s">
        <v>251</v>
      </c>
      <c r="B15" t="s">
        <v>262</v>
      </c>
      <c r="C15" t="s">
        <v>253</v>
      </c>
      <c r="D15" t="s">
        <v>304</v>
      </c>
      <c r="E15" s="24">
        <v>296120</v>
      </c>
      <c r="F15" t="s">
        <v>342</v>
      </c>
    </row>
    <row r="16" spans="1:6" x14ac:dyDescent="0.2">
      <c r="A16" t="s">
        <v>251</v>
      </c>
      <c r="B16" t="s">
        <v>263</v>
      </c>
      <c r="C16" t="s">
        <v>253</v>
      </c>
      <c r="D16" t="s">
        <v>305</v>
      </c>
      <c r="E16" s="24">
        <v>30464.25</v>
      </c>
      <c r="F16" t="s">
        <v>342</v>
      </c>
    </row>
    <row r="17" spans="1:6" x14ac:dyDescent="0.2">
      <c r="A17" t="s">
        <v>251</v>
      </c>
      <c r="B17" t="s">
        <v>264</v>
      </c>
      <c r="C17" t="s">
        <v>253</v>
      </c>
      <c r="D17" t="s">
        <v>300</v>
      </c>
      <c r="E17" s="24">
        <v>167623.29</v>
      </c>
      <c r="F17" t="s">
        <v>342</v>
      </c>
    </row>
    <row r="18" spans="1:6" x14ac:dyDescent="0.2">
      <c r="A18" t="s">
        <v>251</v>
      </c>
      <c r="B18" t="s">
        <v>265</v>
      </c>
      <c r="C18" t="s">
        <v>253</v>
      </c>
      <c r="D18" t="s">
        <v>315</v>
      </c>
      <c r="E18" s="24">
        <v>797559.08</v>
      </c>
      <c r="F18" t="s">
        <v>342</v>
      </c>
    </row>
    <row r="19" spans="1:6" x14ac:dyDescent="0.2">
      <c r="A19" t="s">
        <v>251</v>
      </c>
      <c r="B19" t="s">
        <v>266</v>
      </c>
      <c r="C19" t="s">
        <v>253</v>
      </c>
      <c r="D19" t="s">
        <v>306</v>
      </c>
      <c r="E19" s="24">
        <v>128155.49</v>
      </c>
      <c r="F19" t="s">
        <v>342</v>
      </c>
    </row>
    <row r="20" spans="1:6" x14ac:dyDescent="0.2">
      <c r="A20" t="s">
        <v>251</v>
      </c>
      <c r="B20" t="s">
        <v>267</v>
      </c>
      <c r="C20" t="s">
        <v>253</v>
      </c>
      <c r="D20" t="s">
        <v>309</v>
      </c>
      <c r="E20" s="24">
        <v>62546.5</v>
      </c>
      <c r="F20" t="s">
        <v>342</v>
      </c>
    </row>
    <row r="21" spans="1:6" x14ac:dyDescent="0.2">
      <c r="A21" t="s">
        <v>251</v>
      </c>
      <c r="B21" t="s">
        <v>268</v>
      </c>
      <c r="C21" t="s">
        <v>253</v>
      </c>
      <c r="D21" t="s">
        <v>310</v>
      </c>
      <c r="E21" s="24">
        <v>19470.09</v>
      </c>
      <c r="F21" t="s">
        <v>342</v>
      </c>
    </row>
    <row r="22" spans="1:6" x14ac:dyDescent="0.2">
      <c r="A22" t="s">
        <v>251</v>
      </c>
      <c r="B22" t="s">
        <v>269</v>
      </c>
      <c r="C22" t="s">
        <v>253</v>
      </c>
      <c r="D22" t="s">
        <v>307</v>
      </c>
      <c r="E22" s="24">
        <v>235052.87</v>
      </c>
      <c r="F22" t="s">
        <v>342</v>
      </c>
    </row>
    <row r="23" spans="1:6" x14ac:dyDescent="0.2">
      <c r="A23" t="s">
        <v>251</v>
      </c>
      <c r="B23" t="s">
        <v>270</v>
      </c>
      <c r="C23" t="s">
        <v>253</v>
      </c>
      <c r="D23" t="s">
        <v>321</v>
      </c>
      <c r="E23" s="24">
        <v>33100</v>
      </c>
      <c r="F23" t="s">
        <v>342</v>
      </c>
    </row>
    <row r="24" spans="1:6" x14ac:dyDescent="0.2">
      <c r="A24" t="s">
        <v>251</v>
      </c>
      <c r="B24" t="s">
        <v>271</v>
      </c>
      <c r="C24" t="s">
        <v>253</v>
      </c>
      <c r="D24" t="s">
        <v>322</v>
      </c>
      <c r="E24" s="24">
        <v>101250.19</v>
      </c>
      <c r="F24" t="s">
        <v>342</v>
      </c>
    </row>
    <row r="25" spans="1:6" x14ac:dyDescent="0.2">
      <c r="A25" t="s">
        <v>251</v>
      </c>
      <c r="B25" t="s">
        <v>272</v>
      </c>
      <c r="C25" t="s">
        <v>253</v>
      </c>
      <c r="D25" t="s">
        <v>324</v>
      </c>
      <c r="E25" s="24">
        <v>0</v>
      </c>
      <c r="F25" t="s">
        <v>342</v>
      </c>
    </row>
    <row r="26" spans="1:6" x14ac:dyDescent="0.2">
      <c r="A26" t="s">
        <v>251</v>
      </c>
      <c r="B26" t="s">
        <v>273</v>
      </c>
      <c r="C26" t="s">
        <v>253</v>
      </c>
      <c r="D26" t="s">
        <v>326</v>
      </c>
      <c r="E26" s="24">
        <v>0</v>
      </c>
      <c r="F26" t="s">
        <v>342</v>
      </c>
    </row>
    <row r="27" spans="1:6" x14ac:dyDescent="0.2">
      <c r="A27" t="s">
        <v>251</v>
      </c>
      <c r="B27" t="s">
        <v>274</v>
      </c>
      <c r="C27" t="s">
        <v>253</v>
      </c>
      <c r="D27" t="s">
        <v>312</v>
      </c>
      <c r="E27" s="24">
        <v>2000</v>
      </c>
      <c r="F27" t="s">
        <v>342</v>
      </c>
    </row>
    <row r="28" spans="1:6" x14ac:dyDescent="0.2">
      <c r="A28" t="s">
        <v>251</v>
      </c>
      <c r="B28" t="s">
        <v>275</v>
      </c>
      <c r="C28" t="s">
        <v>253</v>
      </c>
      <c r="D28" t="s">
        <v>316</v>
      </c>
      <c r="E28" s="24">
        <v>0</v>
      </c>
      <c r="F28" t="s">
        <v>342</v>
      </c>
    </row>
    <row r="29" spans="1:6" x14ac:dyDescent="0.2">
      <c r="A29" t="s">
        <v>251</v>
      </c>
      <c r="B29" t="s">
        <v>276</v>
      </c>
      <c r="C29" t="s">
        <v>253</v>
      </c>
      <c r="D29" t="s">
        <v>313</v>
      </c>
      <c r="E29" s="24">
        <v>279675.93</v>
      </c>
      <c r="F29" t="s">
        <v>342</v>
      </c>
    </row>
    <row r="30" spans="1:6" x14ac:dyDescent="0.2">
      <c r="A30" t="s">
        <v>251</v>
      </c>
      <c r="B30" t="s">
        <v>277</v>
      </c>
      <c r="C30" t="s">
        <v>253</v>
      </c>
      <c r="D30" t="s">
        <v>292</v>
      </c>
      <c r="E30" s="24">
        <v>0</v>
      </c>
      <c r="F30" t="s">
        <v>342</v>
      </c>
    </row>
    <row r="31" spans="1:6" x14ac:dyDescent="0.2">
      <c r="A31" t="s">
        <v>251</v>
      </c>
      <c r="B31" t="s">
        <v>278</v>
      </c>
      <c r="C31" t="s">
        <v>253</v>
      </c>
      <c r="D31" t="s">
        <v>301</v>
      </c>
      <c r="E31" s="24">
        <v>1307052.8899999999</v>
      </c>
      <c r="F31" t="s">
        <v>342</v>
      </c>
    </row>
    <row r="32" spans="1:6" x14ac:dyDescent="0.2">
      <c r="A32" t="s">
        <v>24</v>
      </c>
      <c r="B32" t="s">
        <v>279</v>
      </c>
      <c r="C32" t="s">
        <v>280</v>
      </c>
      <c r="D32" t="s">
        <v>293</v>
      </c>
      <c r="E32" s="24">
        <v>0</v>
      </c>
      <c r="F32" t="s">
        <v>342</v>
      </c>
    </row>
    <row r="33" spans="1:6" x14ac:dyDescent="0.2">
      <c r="A33" t="s">
        <v>24</v>
      </c>
      <c r="B33" t="s">
        <v>281</v>
      </c>
      <c r="C33" t="s">
        <v>280</v>
      </c>
      <c r="D33" t="s">
        <v>294</v>
      </c>
      <c r="E33" s="24">
        <v>0</v>
      </c>
      <c r="F33" t="s">
        <v>342</v>
      </c>
    </row>
    <row r="34" spans="1:6" x14ac:dyDescent="0.2">
      <c r="A34" t="s">
        <v>24</v>
      </c>
      <c r="B34" t="s">
        <v>282</v>
      </c>
      <c r="C34" t="s">
        <v>280</v>
      </c>
      <c r="D34" t="s">
        <v>295</v>
      </c>
      <c r="E34" s="24">
        <v>1189099.73</v>
      </c>
      <c r="F34" t="s">
        <v>342</v>
      </c>
    </row>
    <row r="35" spans="1:6" x14ac:dyDescent="0.2">
      <c r="A35" t="s">
        <v>24</v>
      </c>
      <c r="B35" t="s">
        <v>283</v>
      </c>
      <c r="C35" t="s">
        <v>280</v>
      </c>
      <c r="D35" t="s">
        <v>296</v>
      </c>
      <c r="E35" s="24">
        <v>0</v>
      </c>
      <c r="F35" t="s">
        <v>342</v>
      </c>
    </row>
    <row r="36" spans="1:6" x14ac:dyDescent="0.2">
      <c r="A36" t="s">
        <v>24</v>
      </c>
      <c r="B36" t="s">
        <v>284</v>
      </c>
      <c r="C36" t="s">
        <v>280</v>
      </c>
      <c r="D36" t="s">
        <v>325</v>
      </c>
      <c r="E36" s="24">
        <v>200409.4</v>
      </c>
      <c r="F36" t="s">
        <v>342</v>
      </c>
    </row>
    <row r="37" spans="1:6" x14ac:dyDescent="0.2">
      <c r="A37" t="s">
        <v>29</v>
      </c>
      <c r="B37" t="s">
        <v>285</v>
      </c>
      <c r="C37" t="s">
        <v>286</v>
      </c>
      <c r="D37" t="s">
        <v>297</v>
      </c>
      <c r="E37" s="24">
        <v>0</v>
      </c>
      <c r="F37" t="s">
        <v>342</v>
      </c>
    </row>
    <row r="38" spans="1:6" x14ac:dyDescent="0.2">
      <c r="A38" t="s">
        <v>29</v>
      </c>
      <c r="B38" t="s">
        <v>287</v>
      </c>
      <c r="C38" t="s">
        <v>286</v>
      </c>
      <c r="D38" t="s">
        <v>298</v>
      </c>
      <c r="E38" s="24">
        <v>0</v>
      </c>
      <c r="F38" t="s">
        <v>342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O43" sqref="O43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8.42578125" style="24" bestFit="1" customWidth="1"/>
    <col min="6" max="6" width="14.85546875" bestFit="1" customWidth="1"/>
  </cols>
  <sheetData>
    <row r="1" spans="1:6" x14ac:dyDescent="0.2">
      <c r="A1" t="s">
        <v>216</v>
      </c>
      <c r="B1" t="s">
        <v>189</v>
      </c>
      <c r="C1" t="s">
        <v>191</v>
      </c>
      <c r="D1" t="s">
        <v>192</v>
      </c>
      <c r="E1" s="24" t="s">
        <v>230</v>
      </c>
      <c r="F1" t="s">
        <v>96</v>
      </c>
    </row>
    <row r="2" spans="1:6" x14ac:dyDescent="0.2">
      <c r="A2" t="s">
        <v>0</v>
      </c>
      <c r="B2" t="s">
        <v>246</v>
      </c>
      <c r="C2" t="s">
        <v>247</v>
      </c>
      <c r="D2" t="s">
        <v>290</v>
      </c>
      <c r="E2" s="24">
        <v>0</v>
      </c>
      <c r="F2" t="s">
        <v>342</v>
      </c>
    </row>
    <row r="3" spans="1:6" x14ac:dyDescent="0.2">
      <c r="A3" t="s">
        <v>0</v>
      </c>
      <c r="B3" t="s">
        <v>248</v>
      </c>
      <c r="C3" t="s">
        <v>247</v>
      </c>
      <c r="D3" t="s">
        <v>320</v>
      </c>
      <c r="E3" s="24">
        <v>0</v>
      </c>
      <c r="F3" t="s">
        <v>342</v>
      </c>
    </row>
    <row r="4" spans="1:6" x14ac:dyDescent="0.2">
      <c r="A4" t="s">
        <v>0</v>
      </c>
      <c r="B4" t="s">
        <v>249</v>
      </c>
      <c r="C4" t="s">
        <v>247</v>
      </c>
      <c r="D4" t="s">
        <v>299</v>
      </c>
      <c r="E4" s="24">
        <v>0</v>
      </c>
      <c r="F4" t="s">
        <v>342</v>
      </c>
    </row>
    <row r="5" spans="1:6" x14ac:dyDescent="0.2">
      <c r="A5" t="s">
        <v>0</v>
      </c>
      <c r="B5" t="s">
        <v>250</v>
      </c>
      <c r="C5" t="s">
        <v>247</v>
      </c>
      <c r="D5" t="s">
        <v>291</v>
      </c>
      <c r="E5" s="24">
        <v>0</v>
      </c>
      <c r="F5" t="s">
        <v>342</v>
      </c>
    </row>
    <row r="6" spans="1:6" x14ac:dyDescent="0.2">
      <c r="A6" t="s">
        <v>251</v>
      </c>
      <c r="B6" t="s">
        <v>252</v>
      </c>
      <c r="C6" t="s">
        <v>253</v>
      </c>
      <c r="D6" t="s">
        <v>314</v>
      </c>
      <c r="E6" s="24">
        <v>0</v>
      </c>
      <c r="F6" t="s">
        <v>342</v>
      </c>
    </row>
    <row r="7" spans="1:6" x14ac:dyDescent="0.2">
      <c r="A7" t="s">
        <v>251</v>
      </c>
      <c r="B7" t="s">
        <v>254</v>
      </c>
      <c r="C7" t="s">
        <v>253</v>
      </c>
      <c r="D7" t="s">
        <v>318</v>
      </c>
      <c r="E7" s="24">
        <v>0</v>
      </c>
      <c r="F7" t="s">
        <v>342</v>
      </c>
    </row>
    <row r="8" spans="1:6" x14ac:dyDescent="0.2">
      <c r="A8" t="s">
        <v>251</v>
      </c>
      <c r="B8" t="s">
        <v>255</v>
      </c>
      <c r="C8" t="s">
        <v>253</v>
      </c>
      <c r="D8" t="s">
        <v>317</v>
      </c>
      <c r="E8" s="24">
        <v>0</v>
      </c>
      <c r="F8" t="s">
        <v>342</v>
      </c>
    </row>
    <row r="9" spans="1:6" x14ac:dyDescent="0.2">
      <c r="A9" t="s">
        <v>251</v>
      </c>
      <c r="B9" t="s">
        <v>256</v>
      </c>
      <c r="C9" t="s">
        <v>253</v>
      </c>
      <c r="D9" t="s">
        <v>327</v>
      </c>
      <c r="E9" s="24">
        <v>0</v>
      </c>
      <c r="F9" t="s">
        <v>342</v>
      </c>
    </row>
    <row r="10" spans="1:6" x14ac:dyDescent="0.2">
      <c r="A10" t="s">
        <v>251</v>
      </c>
      <c r="B10" t="s">
        <v>257</v>
      </c>
      <c r="C10" t="s">
        <v>253</v>
      </c>
      <c r="D10" t="s">
        <v>302</v>
      </c>
      <c r="E10" s="24">
        <v>0</v>
      </c>
      <c r="F10" t="s">
        <v>342</v>
      </c>
    </row>
    <row r="11" spans="1:6" x14ac:dyDescent="0.2">
      <c r="A11" t="s">
        <v>251</v>
      </c>
      <c r="B11" t="s">
        <v>258</v>
      </c>
      <c r="C11" t="s">
        <v>253</v>
      </c>
      <c r="D11" t="s">
        <v>303</v>
      </c>
      <c r="E11" s="24">
        <v>0</v>
      </c>
      <c r="F11" t="s">
        <v>342</v>
      </c>
    </row>
    <row r="12" spans="1:6" x14ac:dyDescent="0.2">
      <c r="A12" t="s">
        <v>251</v>
      </c>
      <c r="B12" t="s">
        <v>259</v>
      </c>
      <c r="C12" t="s">
        <v>253</v>
      </c>
      <c r="D12" t="s">
        <v>323</v>
      </c>
      <c r="E12" s="24">
        <v>0</v>
      </c>
      <c r="F12" t="s">
        <v>342</v>
      </c>
    </row>
    <row r="13" spans="1:6" x14ac:dyDescent="0.2">
      <c r="A13" t="s">
        <v>251</v>
      </c>
      <c r="B13" t="s">
        <v>260</v>
      </c>
      <c r="C13" t="s">
        <v>253</v>
      </c>
      <c r="D13" t="s">
        <v>308</v>
      </c>
      <c r="E13" s="24">
        <v>0</v>
      </c>
      <c r="F13" t="s">
        <v>342</v>
      </c>
    </row>
    <row r="14" spans="1:6" x14ac:dyDescent="0.2">
      <c r="A14" t="s">
        <v>251</v>
      </c>
      <c r="B14" t="s">
        <v>261</v>
      </c>
      <c r="C14" t="s">
        <v>253</v>
      </c>
      <c r="D14" t="s">
        <v>311</v>
      </c>
      <c r="E14" s="24">
        <v>0</v>
      </c>
      <c r="F14" t="s">
        <v>342</v>
      </c>
    </row>
    <row r="15" spans="1:6" x14ac:dyDescent="0.2">
      <c r="A15" t="s">
        <v>251</v>
      </c>
      <c r="B15" t="s">
        <v>262</v>
      </c>
      <c r="C15" t="s">
        <v>253</v>
      </c>
      <c r="D15" t="s">
        <v>304</v>
      </c>
      <c r="E15" s="24">
        <v>0</v>
      </c>
      <c r="F15" t="s">
        <v>342</v>
      </c>
    </row>
    <row r="16" spans="1:6" x14ac:dyDescent="0.2">
      <c r="A16" t="s">
        <v>251</v>
      </c>
      <c r="B16" t="s">
        <v>263</v>
      </c>
      <c r="C16" t="s">
        <v>253</v>
      </c>
      <c r="D16" t="s">
        <v>305</v>
      </c>
      <c r="E16" s="24">
        <v>0</v>
      </c>
      <c r="F16" t="s">
        <v>342</v>
      </c>
    </row>
    <row r="17" spans="1:6" x14ac:dyDescent="0.2">
      <c r="A17" t="s">
        <v>251</v>
      </c>
      <c r="B17" t="s">
        <v>264</v>
      </c>
      <c r="C17" t="s">
        <v>253</v>
      </c>
      <c r="D17" t="s">
        <v>300</v>
      </c>
      <c r="E17" s="24">
        <v>0</v>
      </c>
      <c r="F17" t="s">
        <v>342</v>
      </c>
    </row>
    <row r="18" spans="1:6" x14ac:dyDescent="0.2">
      <c r="A18" t="s">
        <v>251</v>
      </c>
      <c r="B18" t="s">
        <v>265</v>
      </c>
      <c r="C18" t="s">
        <v>253</v>
      </c>
      <c r="D18" t="s">
        <v>315</v>
      </c>
      <c r="E18" s="24">
        <v>0</v>
      </c>
      <c r="F18" t="s">
        <v>342</v>
      </c>
    </row>
    <row r="19" spans="1:6" x14ac:dyDescent="0.2">
      <c r="A19" t="s">
        <v>251</v>
      </c>
      <c r="B19" t="s">
        <v>266</v>
      </c>
      <c r="C19" t="s">
        <v>253</v>
      </c>
      <c r="D19" t="s">
        <v>306</v>
      </c>
      <c r="E19" s="24">
        <v>0</v>
      </c>
      <c r="F19" t="s">
        <v>342</v>
      </c>
    </row>
    <row r="20" spans="1:6" x14ac:dyDescent="0.2">
      <c r="A20" t="s">
        <v>251</v>
      </c>
      <c r="B20" t="s">
        <v>267</v>
      </c>
      <c r="C20" t="s">
        <v>253</v>
      </c>
      <c r="D20" t="s">
        <v>309</v>
      </c>
      <c r="E20" s="24">
        <v>0</v>
      </c>
      <c r="F20" t="s">
        <v>342</v>
      </c>
    </row>
    <row r="21" spans="1:6" x14ac:dyDescent="0.2">
      <c r="A21" t="s">
        <v>251</v>
      </c>
      <c r="B21" t="s">
        <v>268</v>
      </c>
      <c r="C21" t="s">
        <v>253</v>
      </c>
      <c r="D21" t="s">
        <v>310</v>
      </c>
      <c r="E21" s="24">
        <v>0</v>
      </c>
      <c r="F21" t="s">
        <v>342</v>
      </c>
    </row>
    <row r="22" spans="1:6" x14ac:dyDescent="0.2">
      <c r="A22" t="s">
        <v>251</v>
      </c>
      <c r="B22" t="s">
        <v>269</v>
      </c>
      <c r="C22" t="s">
        <v>253</v>
      </c>
      <c r="D22" t="s">
        <v>307</v>
      </c>
      <c r="E22" s="24">
        <v>0</v>
      </c>
      <c r="F22" t="s">
        <v>342</v>
      </c>
    </row>
    <row r="23" spans="1:6" x14ac:dyDescent="0.2">
      <c r="A23" t="s">
        <v>251</v>
      </c>
      <c r="B23" t="s">
        <v>270</v>
      </c>
      <c r="C23" t="s">
        <v>253</v>
      </c>
      <c r="D23" t="s">
        <v>321</v>
      </c>
      <c r="E23" s="24">
        <v>0</v>
      </c>
      <c r="F23" t="s">
        <v>342</v>
      </c>
    </row>
    <row r="24" spans="1:6" x14ac:dyDescent="0.2">
      <c r="A24" t="s">
        <v>251</v>
      </c>
      <c r="B24" t="s">
        <v>271</v>
      </c>
      <c r="C24" t="s">
        <v>253</v>
      </c>
      <c r="D24" t="s">
        <v>322</v>
      </c>
      <c r="E24" s="24">
        <v>0</v>
      </c>
      <c r="F24" t="s">
        <v>342</v>
      </c>
    </row>
    <row r="25" spans="1:6" x14ac:dyDescent="0.2">
      <c r="A25" t="s">
        <v>251</v>
      </c>
      <c r="B25" t="s">
        <v>272</v>
      </c>
      <c r="C25" t="s">
        <v>253</v>
      </c>
      <c r="D25" t="s">
        <v>324</v>
      </c>
      <c r="E25" s="24">
        <v>0</v>
      </c>
      <c r="F25" t="s">
        <v>342</v>
      </c>
    </row>
    <row r="26" spans="1:6" x14ac:dyDescent="0.2">
      <c r="A26" t="s">
        <v>251</v>
      </c>
      <c r="B26" t="s">
        <v>273</v>
      </c>
      <c r="C26" t="s">
        <v>253</v>
      </c>
      <c r="D26" t="s">
        <v>326</v>
      </c>
      <c r="E26" s="24">
        <v>0</v>
      </c>
      <c r="F26" t="s">
        <v>342</v>
      </c>
    </row>
    <row r="27" spans="1:6" x14ac:dyDescent="0.2">
      <c r="A27" t="s">
        <v>251</v>
      </c>
      <c r="B27" t="s">
        <v>274</v>
      </c>
      <c r="C27" t="s">
        <v>253</v>
      </c>
      <c r="D27" t="s">
        <v>312</v>
      </c>
      <c r="E27" s="24">
        <v>0</v>
      </c>
      <c r="F27" t="s">
        <v>342</v>
      </c>
    </row>
    <row r="28" spans="1:6" x14ac:dyDescent="0.2">
      <c r="A28" t="s">
        <v>251</v>
      </c>
      <c r="B28" t="s">
        <v>275</v>
      </c>
      <c r="C28" t="s">
        <v>253</v>
      </c>
      <c r="D28" t="s">
        <v>316</v>
      </c>
      <c r="E28" s="24">
        <v>0</v>
      </c>
      <c r="F28" t="s">
        <v>342</v>
      </c>
    </row>
    <row r="29" spans="1:6" x14ac:dyDescent="0.2">
      <c r="A29" t="s">
        <v>251</v>
      </c>
      <c r="B29" t="s">
        <v>276</v>
      </c>
      <c r="C29" t="s">
        <v>253</v>
      </c>
      <c r="D29" t="s">
        <v>313</v>
      </c>
      <c r="E29" s="24">
        <v>0</v>
      </c>
      <c r="F29" t="s">
        <v>342</v>
      </c>
    </row>
    <row r="30" spans="1:6" x14ac:dyDescent="0.2">
      <c r="A30" t="s">
        <v>251</v>
      </c>
      <c r="B30" t="s">
        <v>277</v>
      </c>
      <c r="C30" t="s">
        <v>253</v>
      </c>
      <c r="D30" t="s">
        <v>328</v>
      </c>
      <c r="E30" s="24">
        <v>0</v>
      </c>
      <c r="F30" t="s">
        <v>342</v>
      </c>
    </row>
    <row r="31" spans="1:6" x14ac:dyDescent="0.2">
      <c r="A31" t="s">
        <v>251</v>
      </c>
      <c r="B31" t="s">
        <v>278</v>
      </c>
      <c r="C31" t="s">
        <v>253</v>
      </c>
      <c r="D31" t="s">
        <v>301</v>
      </c>
      <c r="E31" s="24">
        <v>0</v>
      </c>
      <c r="F31" t="s">
        <v>342</v>
      </c>
    </row>
    <row r="32" spans="1:6" x14ac:dyDescent="0.2">
      <c r="A32" t="s">
        <v>24</v>
      </c>
      <c r="B32" t="s">
        <v>279</v>
      </c>
      <c r="C32" t="s">
        <v>280</v>
      </c>
      <c r="D32" t="s">
        <v>293</v>
      </c>
      <c r="E32" s="24">
        <v>0</v>
      </c>
      <c r="F32" t="s">
        <v>342</v>
      </c>
    </row>
    <row r="33" spans="1:6" x14ac:dyDescent="0.2">
      <c r="A33" t="s">
        <v>24</v>
      </c>
      <c r="B33" t="s">
        <v>281</v>
      </c>
      <c r="C33" t="s">
        <v>280</v>
      </c>
      <c r="D33" t="s">
        <v>294</v>
      </c>
      <c r="E33" s="24">
        <v>0</v>
      </c>
      <c r="F33" t="s">
        <v>342</v>
      </c>
    </row>
    <row r="34" spans="1:6" x14ac:dyDescent="0.2">
      <c r="A34" t="s">
        <v>24</v>
      </c>
      <c r="B34" t="s">
        <v>282</v>
      </c>
      <c r="C34" t="s">
        <v>280</v>
      </c>
      <c r="D34" t="s">
        <v>295</v>
      </c>
      <c r="E34" s="24">
        <v>0</v>
      </c>
      <c r="F34" t="s">
        <v>342</v>
      </c>
    </row>
    <row r="35" spans="1:6" x14ac:dyDescent="0.2">
      <c r="A35" t="s">
        <v>24</v>
      </c>
      <c r="B35" t="s">
        <v>283</v>
      </c>
      <c r="C35" t="s">
        <v>280</v>
      </c>
      <c r="D35" t="s">
        <v>296</v>
      </c>
      <c r="E35" s="24">
        <v>0</v>
      </c>
      <c r="F35" t="s">
        <v>342</v>
      </c>
    </row>
    <row r="36" spans="1:6" x14ac:dyDescent="0.2">
      <c r="A36" t="s">
        <v>24</v>
      </c>
      <c r="B36" t="s">
        <v>284</v>
      </c>
      <c r="C36" t="s">
        <v>280</v>
      </c>
      <c r="D36" t="s">
        <v>325</v>
      </c>
      <c r="E36" s="24">
        <v>0</v>
      </c>
      <c r="F36" t="s">
        <v>342</v>
      </c>
    </row>
    <row r="37" spans="1:6" x14ac:dyDescent="0.2">
      <c r="A37" t="s">
        <v>29</v>
      </c>
      <c r="B37" t="s">
        <v>285</v>
      </c>
      <c r="C37" t="s">
        <v>286</v>
      </c>
      <c r="D37" t="s">
        <v>297</v>
      </c>
      <c r="E37" s="24">
        <v>0</v>
      </c>
      <c r="F37" t="s">
        <v>342</v>
      </c>
    </row>
    <row r="38" spans="1:6" x14ac:dyDescent="0.2">
      <c r="A38" t="s">
        <v>29</v>
      </c>
      <c r="B38" t="s">
        <v>287</v>
      </c>
      <c r="C38" t="s">
        <v>286</v>
      </c>
      <c r="D38" t="s">
        <v>298</v>
      </c>
      <c r="E38" s="24">
        <v>0</v>
      </c>
      <c r="F38" t="s">
        <v>342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2018-01-17T19:36:33Z</dcterms:modified>
</cp:coreProperties>
</file>