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tables/table5.xml" ContentType="application/vnd.openxmlformats-officedocument.spreadsheetml.table+xml"/>
  <Override PartName="/xl/queryTables/queryTable6.xml" ContentType="application/vnd.openxmlformats-officedocument.spreadsheetml.queryTable+xml"/>
  <Override PartName="/xl/tables/table6.xml" ContentType="application/vnd.openxmlformats-officedocument.spreadsheetml.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120" yWindow="90" windowWidth="15480" windowHeight="8700" tabRatio="930" firstSheet="9" activeTab="9"/>
  </bookViews>
  <sheets>
    <sheet name="Anexo I - Jan" sheetId="2" state="hidden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state="hidden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state="hidden" r:id="rId9"/>
    <sheet name="Anexo I - Out" sheetId="6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Despesa - Access Emag" sheetId="22" state="hidden" r:id="rId16"/>
    <sheet name="Financeiro - Access" sheetId="18" state="hidden" r:id="rId17"/>
    <sheet name="Financeiro - Access Emag" sheetId="23" state="hidden" r:id="rId18"/>
    <sheet name="Orcamento - Access" sheetId="15" state="hidden" r:id="rId19"/>
    <sheet name="Decisões Judiciais" sheetId="21" state="hidden" r:id="rId20"/>
    <sheet name="Outras Receitas" sheetId="20" state="hidden" r:id="rId21"/>
    <sheet name="RP - Access" sheetId="16" state="hidden" r:id="rId22"/>
    <sheet name="RP - AccessEmag" sheetId="24" state="hidden" r:id="rId23"/>
  </sheets>
  <definedNames>
    <definedName name="_xlnm.Print_Area" localSheetId="3">'Anexo I - Abr'!$A$1:$C$86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Fev'!$A$1:$C$86</definedName>
    <definedName name="_xlnm.Print_Area" localSheetId="0">'Anexo I - Jan'!$A$1:$C$89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Mai'!$A$1:$C$85</definedName>
    <definedName name="_xlnm.Print_Area" localSheetId="2">'Anexo I - Mar'!$A$1:$C$85</definedName>
    <definedName name="_xlnm.Print_Area" localSheetId="10">'Anexo I - Nov'!$A$1:$C$85</definedName>
    <definedName name="_xlnm.Print_Area" localSheetId="9">'Anexo I - Out'!$A$1:$C$85</definedName>
    <definedName name="_xlnm.Print_Area" localSheetId="12">'Anexo I - RP'!$A$1:$C$66</definedName>
    <definedName name="_xlnm.Print_Area" localSheetId="8">'Anexo I - Set'!$A$1:$C$85</definedName>
    <definedName name="_xlnm.Print_Area" localSheetId="13">'Anexo II - Orcamento'!$A$1:$T$23</definedName>
    <definedName name="Consulta_de_Banco_de_dados_do_MS_Access" localSheetId="14">'Despesa - Access'!#REF!</definedName>
    <definedName name="Consulta_de_Banco_de_dados_do_MS_Access" localSheetId="16">'Financeiro - Access'!#REF!</definedName>
    <definedName name="Consulta_de_Banco_de_dados_do_MS_Access" localSheetId="18">'Orcamento - Access'!$A$1:$AC$21</definedName>
    <definedName name="Consulta_de_Banco_de_dados_do_MS_Access_1" localSheetId="14">'Despesa - Access'!#REF!</definedName>
    <definedName name="Consulta_de_Banco_de_dados_do_MS_Access_1" localSheetId="16">'Financeiro - Access'!#REF!</definedName>
    <definedName name="Consulta_de_Banco_de_dados_do_MS_Access_1" localSheetId="18">'Orcamento - Access'!#REF!</definedName>
    <definedName name="Consulta_de_Banco_de_dados_do_MS_Access_1" localSheetId="21">'RP - Access'!#REF!</definedName>
    <definedName name="Consulta_de_Banco_de_dados_do_MS_Access_1" localSheetId="22">'RP - AccessEmag'!#REF!</definedName>
    <definedName name="Consulta_de_Banco_de_dados_do_MS_Access_2" localSheetId="14">'Despesa - Access'!#REF!</definedName>
    <definedName name="Consulta_de_Banco_de_dados_do_MS_Access_2" localSheetId="16">'Financeiro - Access'!#REF!</definedName>
    <definedName name="Consulta_de_Banco_de_dados_do_MS_Access_2" localSheetId="18">'Orcamento - Access'!#REF!</definedName>
    <definedName name="Consulta_de_Banco_de_dados_do_MS_Access_2" localSheetId="21">'RP - Access'!#REF!</definedName>
    <definedName name="Consulta_de_Banco_de_dados_do_MS_Access_2" localSheetId="22">'RP - AccessEmag'!#REF!</definedName>
    <definedName name="Consulta_de_Banco_de_dados_do_MS_Access_3" localSheetId="14">'Despesa - Access'!#REF!</definedName>
    <definedName name="Consulta_de_Banco_de_dados_do_MS_Access_3" localSheetId="18">'Orcamento - Access'!#REF!</definedName>
    <definedName name="Consulta_de_Banco_de_dados_do_MS_Access_4" localSheetId="18">'Orcamento - Access'!#REF!</definedName>
    <definedName name="Consulta_de_Banco_de_dados_do_MS_Access_5" localSheetId="18">'Orcamento - Access'!#REF!</definedName>
    <definedName name="Consulta_de_Banco_de_dados_do_MS_Access_6" localSheetId="18">'Orcamento - Access'!#REF!</definedName>
    <definedName name="Consulta_de_Banco_de_dados_MS_Access" localSheetId="21">'RP - Access'!#REF!</definedName>
    <definedName name="Consulta_de_Banco_de_dados_MS_Access" localSheetId="22">'RP - AccessEmag'!#REF!</definedName>
    <definedName name="Consulta_de_Banco_de_dados_MS_Access_1" localSheetId="16">'Financeiro - Access'!#REF!</definedName>
    <definedName name="Despesa_EMAG___2014" localSheetId="15" hidden="1">'Despesa - Access Emag'!$A$1:$Q$38</definedName>
    <definedName name="Despesa_TRF___2013" localSheetId="14" hidden="1">'Despesa - Access'!$A$1:$Q$38</definedName>
    <definedName name="Repasse_EMAG___2014" localSheetId="17" hidden="1">'Financeiro - Access Emag'!$A$1:$R$5</definedName>
    <definedName name="Repasse_TRF___2013" localSheetId="16" hidden="1">'Financeiro - Access'!$A$1:$R$5</definedName>
    <definedName name="Restos_a_Pagar_TRF___2013" localSheetId="21" hidden="1">'RP - Access'!$A$1:$F$38</definedName>
    <definedName name="Restos_a_Pagar_TRF___2013_1" localSheetId="22" hidden="1">'RP - AccessEmag'!$A$1:$F$38</definedName>
  </definedNames>
  <calcPr calcId="145621"/>
</workbook>
</file>

<file path=xl/calcChain.xml><?xml version="1.0" encoding="utf-8"?>
<calcChain xmlns="http://schemas.openxmlformats.org/spreadsheetml/2006/main">
  <c r="C82" i="4" l="1"/>
  <c r="C82" i="6"/>
  <c r="C70" i="17" l="1"/>
  <c r="C92" i="4" l="1"/>
  <c r="C91" i="4"/>
  <c r="E96" i="4" l="1"/>
  <c r="D48" i="4" l="1"/>
  <c r="D17" i="4" l="1"/>
  <c r="G58" i="4"/>
  <c r="G48" i="4"/>
  <c r="F35" i="4"/>
  <c r="G17" i="4"/>
  <c r="C103" i="2" l="1"/>
  <c r="C102" i="2"/>
  <c r="D48" i="12" l="1"/>
  <c r="E97" i="5" l="1"/>
  <c r="D48" i="5"/>
  <c r="C105" i="2" l="1"/>
  <c r="E98" i="7" l="1"/>
  <c r="D48" i="7"/>
  <c r="D48" i="8" l="1"/>
  <c r="E97" i="8" l="1"/>
  <c r="C16" i="9" l="1"/>
  <c r="E97" i="9" l="1"/>
  <c r="D48" i="9" l="1"/>
  <c r="D48" i="10" l="1"/>
  <c r="D17" i="10"/>
  <c r="E97" i="10"/>
  <c r="C16" i="10"/>
  <c r="D48" i="11" l="1"/>
  <c r="D17" i="11"/>
  <c r="E97" i="11"/>
  <c r="C93" i="11"/>
  <c r="C92" i="11"/>
  <c r="E98" i="12" l="1"/>
  <c r="H40" i="2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13" i="12"/>
  <c r="C48" i="12" l="1"/>
  <c r="E48" i="12" s="1"/>
  <c r="E98" i="13"/>
  <c r="C93" i="13"/>
  <c r="D93" i="13"/>
  <c r="D48" i="13"/>
  <c r="D17" i="13"/>
  <c r="D48" i="3" l="1"/>
  <c r="D17" i="3"/>
  <c r="C98" i="2" l="1"/>
  <c r="C93" i="2"/>
  <c r="C94" i="12" l="1"/>
  <c r="G40" i="22" l="1"/>
  <c r="C93" i="3" l="1"/>
  <c r="D94" i="13" s="1"/>
  <c r="C35" i="2" l="1"/>
  <c r="C36" i="2"/>
  <c r="C37" i="2"/>
  <c r="C38" i="2"/>
  <c r="C39" i="2"/>
  <c r="C40" i="2"/>
  <c r="C41" i="2"/>
  <c r="C42" i="2"/>
  <c r="C43" i="2"/>
  <c r="C44" i="2"/>
  <c r="C45" i="2"/>
  <c r="C46" i="2"/>
  <c r="C47" i="2"/>
  <c r="C23" i="2"/>
  <c r="C24" i="2"/>
  <c r="C25" i="2"/>
  <c r="C26" i="2"/>
  <c r="C27" i="2"/>
  <c r="C28" i="2"/>
  <c r="C29" i="2"/>
  <c r="C30" i="2"/>
  <c r="C31" i="2"/>
  <c r="C32" i="2"/>
  <c r="C33" i="2"/>
  <c r="C34" i="2"/>
  <c r="C14" i="2"/>
  <c r="C15" i="2"/>
  <c r="D92" i="4" l="1"/>
  <c r="E92" i="4" s="1"/>
  <c r="D91" i="4"/>
  <c r="E91" i="4" s="1"/>
  <c r="D90" i="4"/>
  <c r="E90" i="4" s="1"/>
  <c r="E93" i="4" l="1"/>
  <c r="F93" i="4" s="1"/>
  <c r="D93" i="5" l="1"/>
  <c r="D92" i="5"/>
  <c r="D91" i="5"/>
  <c r="E91" i="5" s="1"/>
  <c r="E93" i="5" l="1"/>
  <c r="E92" i="5"/>
  <c r="E94" i="5" l="1"/>
  <c r="D94" i="7"/>
  <c r="E94" i="7" s="1"/>
  <c r="D93" i="7"/>
  <c r="D92" i="7"/>
  <c r="E92" i="7" s="1"/>
  <c r="E93" i="7" l="1"/>
  <c r="E95" i="7" s="1"/>
  <c r="D93" i="8"/>
  <c r="E93" i="8" s="1"/>
  <c r="D92" i="8"/>
  <c r="E92" i="8" s="1"/>
  <c r="D91" i="8"/>
  <c r="E91" i="8" s="1"/>
  <c r="E94" i="8" l="1"/>
  <c r="D93" i="9"/>
  <c r="D92" i="9"/>
  <c r="D91" i="9"/>
  <c r="E91" i="9" s="1"/>
  <c r="E93" i="9" l="1"/>
  <c r="E92" i="9"/>
  <c r="D93" i="10"/>
  <c r="E93" i="10" s="1"/>
  <c r="D92" i="10"/>
  <c r="E92" i="10" s="1"/>
  <c r="D91" i="10"/>
  <c r="E91" i="10" s="1"/>
  <c r="E94" i="9" l="1"/>
  <c r="E94" i="10"/>
  <c r="D93" i="11"/>
  <c r="E93" i="11" s="1"/>
  <c r="D92" i="11"/>
  <c r="E92" i="11" s="1"/>
  <c r="E91" i="11"/>
  <c r="E94" i="11" l="1"/>
  <c r="E92" i="12" l="1"/>
  <c r="C71" i="13" l="1"/>
  <c r="C72" i="13"/>
  <c r="C73" i="13"/>
  <c r="C70" i="13"/>
  <c r="C64" i="13"/>
  <c r="C63" i="13"/>
  <c r="C54" i="13"/>
  <c r="C55" i="13"/>
  <c r="C56" i="13"/>
  <c r="C57" i="13"/>
  <c r="C53" i="13"/>
  <c r="C42" i="13"/>
  <c r="C43" i="13"/>
  <c r="C44" i="13"/>
  <c r="C45" i="13"/>
  <c r="C46" i="13"/>
  <c r="C47" i="13"/>
  <c r="C35" i="13"/>
  <c r="C36" i="13"/>
  <c r="C37" i="13"/>
  <c r="C38" i="13"/>
  <c r="C39" i="13"/>
  <c r="C40" i="13"/>
  <c r="C41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22" i="13"/>
  <c r="C14" i="13"/>
  <c r="C15" i="13"/>
  <c r="C16" i="13"/>
  <c r="C13" i="13"/>
  <c r="D94" i="12"/>
  <c r="E94" i="12" s="1"/>
  <c r="D93" i="12"/>
  <c r="E93" i="12" s="1"/>
  <c r="C48" i="13" l="1"/>
  <c r="E48" i="13" s="1"/>
  <c r="E95" i="12"/>
  <c r="E94" i="13"/>
  <c r="E93" i="13"/>
  <c r="E92" i="13"/>
  <c r="E95" i="13" l="1"/>
  <c r="D92" i="3"/>
  <c r="E91" i="3"/>
  <c r="D93" i="3"/>
  <c r="E93" i="3" s="1"/>
  <c r="E92" i="3" l="1"/>
  <c r="E94" i="3" s="1"/>
  <c r="C16" i="3"/>
  <c r="C71" i="2" l="1"/>
  <c r="C72" i="2"/>
  <c r="C73" i="2"/>
  <c r="C70" i="2"/>
  <c r="C64" i="2"/>
  <c r="C63" i="2"/>
  <c r="C54" i="2"/>
  <c r="C55" i="2"/>
  <c r="C56" i="2"/>
  <c r="C57" i="2"/>
  <c r="C53" i="2"/>
  <c r="C22" i="2"/>
  <c r="C13" i="2"/>
  <c r="C71" i="4" l="1"/>
  <c r="C72" i="4"/>
  <c r="C73" i="4"/>
  <c r="C70" i="4"/>
  <c r="C64" i="4"/>
  <c r="C63" i="4"/>
  <c r="C54" i="4"/>
  <c r="C55" i="4"/>
  <c r="C56" i="4"/>
  <c r="C57" i="4"/>
  <c r="C53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22" i="4"/>
  <c r="C14" i="4"/>
  <c r="C15" i="4"/>
  <c r="C13" i="4"/>
  <c r="C64" i="17"/>
  <c r="C63" i="17"/>
  <c r="C54" i="17"/>
  <c r="C55" i="17"/>
  <c r="C56" i="17"/>
  <c r="C57" i="17"/>
  <c r="C53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2" i="17"/>
  <c r="C14" i="17"/>
  <c r="C15" i="17"/>
  <c r="C16" i="17"/>
  <c r="C13" i="17"/>
  <c r="C71" i="5" l="1"/>
  <c r="C72" i="5"/>
  <c r="C73" i="5"/>
  <c r="C70" i="5"/>
  <c r="C64" i="5"/>
  <c r="C63" i="5"/>
  <c r="C54" i="5"/>
  <c r="C55" i="5"/>
  <c r="C56" i="5"/>
  <c r="C57" i="5"/>
  <c r="C53" i="5"/>
  <c r="C38" i="5"/>
  <c r="C39" i="5"/>
  <c r="C40" i="5"/>
  <c r="C41" i="5"/>
  <c r="C42" i="5"/>
  <c r="C43" i="5"/>
  <c r="C44" i="5"/>
  <c r="C45" i="5"/>
  <c r="C46" i="5"/>
  <c r="C47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22" i="5"/>
  <c r="C14" i="5"/>
  <c r="C15" i="5"/>
  <c r="C13" i="5"/>
  <c r="C17" i="5" s="1"/>
  <c r="C74" i="5" l="1"/>
  <c r="C58" i="5"/>
  <c r="E58" i="5" s="1"/>
  <c r="C48" i="5"/>
  <c r="E48" i="5" s="1"/>
  <c r="C71" i="6" l="1"/>
  <c r="C72" i="6"/>
  <c r="C73" i="6"/>
  <c r="C70" i="6"/>
  <c r="C64" i="6"/>
  <c r="C63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/>
  <c r="C15" i="6"/>
  <c r="C13" i="6"/>
  <c r="C71" i="7" l="1"/>
  <c r="C72" i="7"/>
  <c r="C73" i="7"/>
  <c r="C70" i="7"/>
  <c r="C64" i="7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71" i="8" l="1"/>
  <c r="C72" i="8"/>
  <c r="C73" i="8"/>
  <c r="C70" i="8"/>
  <c r="C64" i="8"/>
  <c r="C63" i="8"/>
  <c r="C54" i="8"/>
  <c r="C55" i="8"/>
  <c r="C56" i="8"/>
  <c r="C57" i="8"/>
  <c r="C53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22" i="8"/>
  <c r="C14" i="8"/>
  <c r="C15" i="8"/>
  <c r="C16" i="8"/>
  <c r="C13" i="8"/>
  <c r="C74" i="8" l="1"/>
  <c r="C71" i="9"/>
  <c r="C72" i="9"/>
  <c r="C73" i="9"/>
  <c r="C70" i="9"/>
  <c r="C64" i="9"/>
  <c r="C63" i="9"/>
  <c r="C54" i="9"/>
  <c r="C55" i="9"/>
  <c r="C56" i="9"/>
  <c r="C57" i="9"/>
  <c r="C53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22" i="9"/>
  <c r="C14" i="9"/>
  <c r="C15" i="9"/>
  <c r="C13" i="9"/>
  <c r="C71" i="10" l="1"/>
  <c r="C72" i="10"/>
  <c r="C73" i="10"/>
  <c r="C70" i="10"/>
  <c r="C64" i="10"/>
  <c r="C63" i="10"/>
  <c r="C54" i="10"/>
  <c r="C55" i="10"/>
  <c r="C56" i="10"/>
  <c r="C57" i="10"/>
  <c r="C53" i="10"/>
  <c r="C43" i="10"/>
  <c r="C44" i="10"/>
  <c r="C45" i="10"/>
  <c r="C46" i="10"/>
  <c r="C47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23" i="10"/>
  <c r="C24" i="10"/>
  <c r="C25" i="10"/>
  <c r="C26" i="10"/>
  <c r="C27" i="10"/>
  <c r="C28" i="10"/>
  <c r="C29" i="10"/>
  <c r="C30" i="10"/>
  <c r="C22" i="10"/>
  <c r="C14" i="10"/>
  <c r="C15" i="10"/>
  <c r="C13" i="10"/>
  <c r="C71" i="11" l="1"/>
  <c r="C72" i="11"/>
  <c r="C73" i="11"/>
  <c r="C70" i="11"/>
  <c r="C64" i="11"/>
  <c r="C63" i="11"/>
  <c r="C54" i="11"/>
  <c r="C55" i="11"/>
  <c r="C56" i="11"/>
  <c r="C57" i="11"/>
  <c r="C53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22" i="11"/>
  <c r="C14" i="11"/>
  <c r="C15" i="11"/>
  <c r="C13" i="11"/>
  <c r="C15" i="12" l="1"/>
  <c r="C71" i="12"/>
  <c r="C72" i="12"/>
  <c r="C73" i="12"/>
  <c r="C70" i="12"/>
  <c r="C64" i="12"/>
  <c r="C63" i="12"/>
  <c r="C54" i="12"/>
  <c r="C55" i="12"/>
  <c r="C56" i="12"/>
  <c r="C57" i="12"/>
  <c r="C53" i="12"/>
  <c r="C14" i="12"/>
  <c r="C17" i="13" l="1"/>
  <c r="E17" i="13" s="1"/>
  <c r="C71" i="3"/>
  <c r="E71" i="3" s="1"/>
  <c r="C72" i="3"/>
  <c r="C73" i="3"/>
  <c r="C70" i="3"/>
  <c r="E70" i="3" s="1"/>
  <c r="C64" i="3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4" i="3"/>
  <c r="C15" i="3"/>
  <c r="C13" i="3"/>
  <c r="P7" i="18" l="1"/>
  <c r="O7" i="18"/>
  <c r="N7" i="18"/>
  <c r="M7" i="18"/>
  <c r="L7" i="18"/>
  <c r="K7" i="18"/>
  <c r="J7" i="18"/>
  <c r="I7" i="18"/>
  <c r="H7" i="18"/>
  <c r="G7" i="18"/>
  <c r="F7" i="18"/>
  <c r="E7" i="18"/>
  <c r="Q7" i="18" l="1"/>
  <c r="C17" i="4" l="1"/>
  <c r="C74" i="12" l="1"/>
  <c r="C17" i="12"/>
  <c r="E17" i="12" s="1"/>
  <c r="C58" i="12"/>
  <c r="E58" i="12" s="1"/>
  <c r="C65" i="12"/>
  <c r="C83" i="12"/>
  <c r="C48" i="8"/>
  <c r="E48" i="8" s="1"/>
  <c r="C17" i="8"/>
  <c r="E17" i="8" s="1"/>
  <c r="C58" i="8"/>
  <c r="E58" i="8" s="1"/>
  <c r="C65" i="8"/>
  <c r="C83" i="8"/>
  <c r="C48" i="4"/>
  <c r="C58" i="4"/>
  <c r="C65" i="4"/>
  <c r="C74" i="4"/>
  <c r="C83" i="4"/>
  <c r="C74" i="3"/>
  <c r="C83" i="3"/>
  <c r="B6" i="3"/>
  <c r="B4" i="3"/>
  <c r="C106" i="2"/>
  <c r="C74" i="2"/>
  <c r="C112" i="2"/>
  <c r="C96" i="2"/>
  <c r="C113" i="2"/>
  <c r="C83" i="2"/>
  <c r="C74" i="13"/>
  <c r="C74" i="11"/>
  <c r="C74" i="10"/>
  <c r="C74" i="9"/>
  <c r="C74" i="7"/>
  <c r="E74" i="7" s="1"/>
  <c r="C74" i="6"/>
  <c r="C17" i="9"/>
  <c r="E17" i="9" s="1"/>
  <c r="C48" i="9"/>
  <c r="E48" i="9" s="1"/>
  <c r="C58" i="9"/>
  <c r="C65" i="9"/>
  <c r="C83" i="9"/>
  <c r="C65" i="10"/>
  <c r="C17" i="10"/>
  <c r="C48" i="10"/>
  <c r="E48" i="10" s="1"/>
  <c r="C58" i="10"/>
  <c r="E58" i="10" s="1"/>
  <c r="C83" i="10"/>
  <c r="C17" i="11"/>
  <c r="E17" i="11" s="1"/>
  <c r="C48" i="11"/>
  <c r="E48" i="11" s="1"/>
  <c r="C58" i="11"/>
  <c r="E58" i="11" s="1"/>
  <c r="C65" i="11"/>
  <c r="C83" i="11"/>
  <c r="C83" i="13"/>
  <c r="E17" i="5"/>
  <c r="C65" i="5"/>
  <c r="C83" i="5"/>
  <c r="C58" i="6"/>
  <c r="C17" i="6"/>
  <c r="C48" i="6"/>
  <c r="C65" i="6"/>
  <c r="C83" i="6"/>
  <c r="C58" i="17"/>
  <c r="C17" i="17"/>
  <c r="C48" i="17"/>
  <c r="C65" i="17"/>
  <c r="C58" i="7"/>
  <c r="E58" i="7" s="1"/>
  <c r="C48" i="7"/>
  <c r="E48" i="7" s="1"/>
  <c r="C17" i="7"/>
  <c r="E17" i="7" s="1"/>
  <c r="C65" i="7"/>
  <c r="C83" i="7"/>
  <c r="C37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C39" i="14"/>
  <c r="D37" i="14"/>
  <c r="C52" i="14"/>
  <c r="S4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C53" i="14"/>
  <c r="S18" i="14"/>
  <c r="S19" i="14"/>
  <c r="S20" i="14"/>
  <c r="S21" i="14"/>
  <c r="S22" i="14"/>
  <c r="S23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C45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C32" i="14"/>
  <c r="N20" i="14"/>
  <c r="N21" i="14"/>
  <c r="N22" i="14"/>
  <c r="N23" i="14"/>
  <c r="T23" i="14"/>
  <c r="R23" i="14"/>
  <c r="P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T22" i="14"/>
  <c r="R22" i="14"/>
  <c r="P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T21" i="14"/>
  <c r="R21" i="14"/>
  <c r="P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C38" i="14"/>
  <c r="C31" i="14"/>
  <c r="C107" i="2" l="1"/>
  <c r="C108" i="2" s="1"/>
  <c r="D107" i="2" s="1"/>
  <c r="E95" i="10"/>
  <c r="E99" i="10" s="1"/>
  <c r="E17" i="10"/>
  <c r="C71" i="17"/>
  <c r="E95" i="5"/>
  <c r="E98" i="5" s="1"/>
  <c r="E94" i="4"/>
  <c r="E95" i="9"/>
  <c r="E99" i="9" s="1"/>
  <c r="E96" i="7"/>
  <c r="E95" i="8"/>
  <c r="E95" i="11"/>
  <c r="E99" i="11" s="1"/>
  <c r="E96" i="12"/>
  <c r="C65" i="13"/>
  <c r="C65" i="2"/>
  <c r="C58" i="13"/>
  <c r="C65" i="3"/>
  <c r="C58" i="2"/>
  <c r="C48" i="3"/>
  <c r="D49" i="3" s="1"/>
  <c r="C17" i="2"/>
  <c r="E17" i="2" s="1"/>
  <c r="C48" i="2"/>
  <c r="E48" i="2" s="1"/>
  <c r="C17" i="3"/>
  <c r="D18" i="3" s="1"/>
  <c r="C58" i="3"/>
  <c r="D59" i="3" s="1"/>
  <c r="E98" i="4" l="1"/>
  <c r="D71" i="17"/>
  <c r="E98" i="9"/>
  <c r="E99" i="5"/>
  <c r="E97" i="4"/>
  <c r="E99" i="7"/>
  <c r="E100" i="7"/>
  <c r="E98" i="8"/>
  <c r="E99" i="8"/>
  <c r="E98" i="10"/>
  <c r="E98" i="11"/>
  <c r="E99" i="12"/>
  <c r="E100" i="12"/>
  <c r="E96" i="13"/>
  <c r="E100" i="13" s="1"/>
  <c r="E95" i="3"/>
  <c r="E98" i="3" s="1"/>
  <c r="C97" i="2"/>
  <c r="E99" i="3" l="1"/>
  <c r="E99" i="13"/>
  <c r="D97" i="2"/>
  <c r="C99" i="2"/>
</calcChain>
</file>

<file path=xl/comments1.xml><?xml version="1.0" encoding="utf-8"?>
<comments xmlns="http://schemas.openxmlformats.org/spreadsheetml/2006/main">
  <authors>
    <author>TRF</author>
  </authors>
  <commentList>
    <comment ref="D37" authorId="0">
      <text>
        <r>
          <rPr>
            <b/>
            <sz val="8"/>
            <color indexed="81"/>
            <rFont val="Tahoma"/>
            <family val="2"/>
          </rPr>
          <t>Diferença entre o valor da células do dia 04/01 refere-se a anulação de empenho de 0,03 (2010NE003244) 
no dia 05/01/2011, com data de 31/12/2010</t>
        </r>
      </text>
    </comment>
  </commentList>
</comments>
</file>

<file path=xl/connections.xml><?xml version="1.0" encoding="utf-8"?>
<connections xmlns="http://schemas.openxmlformats.org/spreadsheetml/2006/main">
  <connection id="1" name="Conexão2" type="1" refreshedVersion="2" deleted="1" background="1" saveData="1">
    <dbPr connection="" command=""/>
  </connection>
  <connection id="2" sourceFile="S:\TRF3-SOFI\UPLA\Sistema UPLA\Transparência\Ano de 2017\UG 090055 - EMAG\Despesa EMAG - 2017.mdb" keepAlive="1" name="Despesa EMAG - 2017" type="5" refreshedVersion="4" background="1" saveData="1">
    <dbPr connection="Provider=Microsoft.ACE.OLEDB.12.0;User ID=Admin;Data Source=S:\TRF3-SOFI\UPLA\Sistema UPLA\Transparência\Ano de 2017\UG 090055 - EMAG\Despesa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29 - TRF\Despesa TRF - 2017.mdb" keepAlive="1" name="Despesa TRF - 2017" type="5" refreshedVersion="4" background="1" saveData="1">
    <dbPr connection="Provider=Microsoft.ACE.OLEDB.12.0;User ID=Admin;Data Source=S:\TRF3-SOFI\UPLA\Sistema UPLA\Transparência\Ano de 2017\UG 090029 - TRF\Despesa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4" sourceFile="S:\TRF3-SOFI\UPLA\Sistema UPLA\Transparência\Ano de 2017\UG 090055 - EMAG\Repasse EMAG - 2017.mdb" keepAlive="1" name="Repasse EMAG - 2017" type="5" refreshedVersion="4" background="1" saveData="1">
    <dbPr connection="Provider=Microsoft.ACE.OLEDB.12.0;User ID=Admin;Data Source=S:\TRF3-SOFI\UPLA\Sistema UPLA\Transparência\Ano de 2017\UG 090055 - EMAG\Repasse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5" sourceFile="S:\TRF3-SOFI\UPLA\Sistema UPLA\Transparência\Ano de 2017\UG 090029 - TRF\Repasse TRF - 2017.mdb" keepAlive="1" name="Repasse TRF - 2017" type="5" refreshedVersion="4" background="1" saveData="1">
    <dbPr connection="Provider=Microsoft.ACE.OLEDB.12.0;User ID=Admin;Data Source=S:\TRF3-SOFI\UPLA\Sistema UPLA\Transparência\Ano de 2017\UG 090029 - TRF\Repasse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6" sourceFile="S:\TRF3-SOFI\UPLA\Sistema UPLA\Transparência\Ano de 2013\Consolidado - Restos a Pagar\Restos a Pagar - 2013.mdb" keepAlive="1" name="Restos a Pagar - 2013 TabDemonstrativoDespesaConsolidadoRp" type="5" refreshedVersion="0" new="1" background="1" saveData="1">
    <dbPr connection="Provider=Microsoft.ACE.OLEDB.12.0;Password=&quot;&quot;;User ID=Admin;Data Source=S:\TRF3-SOFI\UPLA\Sistema UPLA\Transparência\Ano de 2016\Consolidado - Restos a Pagar\Restos a Pagar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DemonstrativoDespesaConsolidadoRp" commandType="3"/>
  </connection>
  <connection id="7" sourceFile="S:\TRF3-SOFI\UPLA\Sistema UPLA\Transparência\Ano de 2014\UG 090055 - EMAG\Restos a Pagar EMAG - 2014.mdb" odcFile="D:\Users\dbustos\My Documents\Minhas fontes de dados\Restos a Pagar EMAG - 2014.odc" keepAlive="1" name="Restos a Pagar EMAG - 20141" type="5" refreshedVersion="0" new="1" background="1">
    <dbPr connection="Provider=Microsoft.ACE.OLEDB.12.0;Password=&quot;&quot;;User ID=Admin;Data Source=S:\TRF3-SOFI\UPLA\Sistema UPLA\Transparência\Ano de 2014\UG 090055 - EMAG\Restos a Pagar EMAG - 2014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8" sourceFile="S:\TRF3-SOFI\UPLA\Sistema UPLA\Transparência\Ano de 2016\UG 090055 - EMAG\Restos a Pagar EMAG - 2016.mdb" keepAlive="1" name="Restos a Pagar EMAG - 2016" type="5" refreshedVersion="0" new="1" background="1" saveData="1">
    <dbPr connection="Provider=Microsoft.ACE.OLEDB.12.0;Password=&quot;&quot;;User ID=Admin;Data Source=S:\TRF3-SOFI\UPLA\Sistema UPLA\Transparência\Ano de 2016\UG 090055 - EMAG\Restos a Pagar EMAG - 2016.mdb;Mode=Share Deny Write;Extended Properties=&quot;&quot;;Jet OLEDB:System database=&quot;&quot;;Jet OLEDB:Registry Path=&quot;&quot;;Jet OLEDB:Database Password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9" sourceFile="S:\TRF3-SOFI\UPLA\Sistema UPLA\Transparência\Ano de 2016\UG 090029 - TRF\Restos a Pagar TRF - 2016.mdb" keepAlive="1" name="Restos a Pagar TRF - 2016" type="5" refreshedVersion="4" background="1" saveData="1">
    <dbPr connection="Provider=Microsoft.ACE.OLEDB.12.0;User ID=Admin;Data Source=S:\TRF3-SOFI\UPLA\Sistema UPLA\Transparência\Ano de 2017\UG 090029 - TRF\Restos a Pagar TRF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  <connection id="10" sourceFile="S:\TRF3-SOFI\UPLA\Sistema UPLA\Transparência\Ano de 2016\UG 090055 - EMAG\Restos a Pagar EMAG - 2016.mdb" keepAlive="1" name="Restos a Pagar TRF - 20161" type="5" refreshedVersion="4" background="1" saveData="1">
    <dbPr connection="Provider=Microsoft.ACE.OLEDB.12.0;User ID=Admin;Data Source=S:\TRF3-SOFI\UPLA\Sistema UPLA\Transparência\Ano de 2017\UG 090055 - EMAG\Restos a Pagar EMAG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<sst xmlns="http://schemas.openxmlformats.org/spreadsheetml/2006/main" count="2927" uniqueCount="388">
  <si>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</si>
  <si>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</si>
  <si>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</si>
  <si>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</si>
  <si>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</si>
  <si>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</si>
  <si>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</si>
  <si>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</si>
  <si>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</si>
  <si>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</si>
  <si>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</si>
  <si>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</si>
  <si>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</si>
  <si>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</si>
  <si>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</si>
  <si>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</si>
  <si>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</si>
  <si>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</si>
  <si>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</si>
  <si>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</si>
  <si>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</si>
  <si>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</si>
  <si>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</si>
  <si>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</si>
  <si>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</si>
  <si>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</si>
  <si>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</si>
  <si>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</si>
  <si>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</si>
  <si>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</si>
  <si>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</si>
  <si>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</si>
  <si>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</si>
  <si>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</si>
  <si>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</si>
  <si>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</si>
  <si>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</si>
  <si>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</si>
  <si>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</si>
  <si>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</si>
  <si>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a</t>
  </si>
  <si>
    <t>b</t>
  </si>
  <si>
    <t>c</t>
  </si>
  <si>
    <t>d</t>
  </si>
  <si>
    <t>Encargos sociais incidentes sobra a remuneração de pessoal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</si>
  <si>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</si>
  <si>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</si>
  <si>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</si>
  <si>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</si>
  <si>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</si>
  <si>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</si>
  <si>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</si>
  <si>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</si>
  <si>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</si>
  <si>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</si>
  <si>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</si>
  <si>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</si>
  <si>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</si>
  <si>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</si>
  <si>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</si>
  <si>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</si>
  <si>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</si>
  <si>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</si>
  <si>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</si>
  <si>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</si>
  <si>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</si>
  <si>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</si>
  <si>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</si>
  <si>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</si>
  <si>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</si>
  <si>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</si>
  <si>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</si>
  <si>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</si>
  <si>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</si>
  <si>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</si>
  <si>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</si>
  <si>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</si>
  <si>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</si>
  <si>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Esfera</t>
  </si>
  <si>
    <t>Fonte</t>
  </si>
  <si>
    <t>Suplemento</t>
  </si>
  <si>
    <t>Cancelamento</t>
  </si>
  <si>
    <t>Destaque</t>
  </si>
  <si>
    <t>Empenhado</t>
  </si>
  <si>
    <t>Liquidado</t>
  </si>
  <si>
    <t>Pago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</si>
  <si>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</si>
  <si>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</si>
  <si>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</si>
  <si>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</si>
  <si>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</si>
  <si>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</si>
  <si>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</si>
  <si>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</si>
  <si>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</si>
  <si>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</si>
  <si>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Ano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</si>
  <si>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</si>
  <si>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</si>
  <si>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</si>
  <si>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</si>
  <si>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</si>
  <si>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</si>
  <si>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</si>
  <si>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</si>
  <si>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</si>
  <si>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</si>
  <si>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</si>
  <si>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</si>
  <si>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</si>
  <si>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</si>
  <si>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</si>
  <si>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</si>
  <si>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</si>
  <si>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>VALOR EMPENHADO</t>
  </si>
  <si>
    <t>EMPENHADO LIQUIDADO</t>
  </si>
  <si>
    <t>VALOR PAGO</t>
  </si>
  <si>
    <t>192220100 - PROVISAO RECEBIDA</t>
  </si>
  <si>
    <t>Programatica</t>
  </si>
  <si>
    <t>DescProgramaAcao</t>
  </si>
  <si>
    <t>FuncaoSubfuncao</t>
  </si>
  <si>
    <t>Gnd</t>
  </si>
  <si>
    <t>DotInicial</t>
  </si>
  <si>
    <t>Contingenciamento</t>
  </si>
  <si>
    <t>DotAutorizada</t>
  </si>
  <si>
    <t>Provisao</t>
  </si>
  <si>
    <t>DotLiquida</t>
  </si>
  <si>
    <t>PorEmpenhado</t>
  </si>
  <si>
    <t>PorLiquidado</t>
  </si>
  <si>
    <t>PorPago</t>
  </si>
  <si>
    <t>0569.4257</t>
  </si>
  <si>
    <t>02.061</t>
  </si>
  <si>
    <t>F</t>
  </si>
  <si>
    <t>100</t>
  </si>
  <si>
    <t>127</t>
  </si>
  <si>
    <t>0569.4091</t>
  </si>
  <si>
    <t>Prestação Jurisdicional na Justiça Federal / Capacit. de Rec. Humanos da Just. Federal</t>
  </si>
  <si>
    <t>02.128</t>
  </si>
  <si>
    <t>0569.3600</t>
  </si>
  <si>
    <t>02.122</t>
  </si>
  <si>
    <t>0569.2012</t>
  </si>
  <si>
    <t>Prestação Jurisdicional na Justiça Federal / Auxílio Alimentação aos Servid. E Empreg.</t>
  </si>
  <si>
    <t>02.306</t>
  </si>
  <si>
    <t>0569.2011</t>
  </si>
  <si>
    <t>Prestação Jurisdicional na Justiça Federal / Auxílo Transporte aos Servidores e Empreg.</t>
  </si>
  <si>
    <t>02.331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</si>
  <si>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</si>
  <si>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</si>
  <si>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</si>
  <si>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</si>
  <si>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</si>
  <si>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</si>
  <si>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</si>
  <si>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</si>
  <si>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</si>
  <si>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</si>
  <si>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</si>
  <si>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</si>
  <si>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169</t>
  </si>
  <si>
    <t>156</t>
  </si>
  <si>
    <t>292110000 - CREDITO DISPONIVEL</t>
  </si>
  <si>
    <t>JANEIRO</t>
  </si>
  <si>
    <t xml:space="preserve">FEVEREIRO </t>
  </si>
  <si>
    <t>MARÇO</t>
  </si>
  <si>
    <t>ABRIL</t>
  </si>
  <si>
    <t>MAIO</t>
  </si>
  <si>
    <t>JUNHO</t>
  </si>
  <si>
    <t>TOTAL SOFI</t>
  </si>
  <si>
    <t>Prestação Jurisdicional na Justiça Federal / Julgamento de Causa - Pessoal</t>
  </si>
  <si>
    <t>Prestação Jurisdicional na Justiça Federal / Julgamento de Causas - Custeio</t>
  </si>
  <si>
    <t xml:space="preserve">292130301 - CREDITO PAGO                                                                                                 </t>
  </si>
  <si>
    <t xml:space="preserve">292410403 - VALORES PAGOS                                                                                   </t>
  </si>
  <si>
    <t xml:space="preserve">292130203 - CRED.EMPENHADO-EXECUTADO POR INSCRICAO DE RP      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</si>
  <si>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</si>
  <si>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</si>
  <si>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</si>
  <si>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</si>
  <si>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</si>
  <si>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</si>
  <si>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</si>
  <si>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</si>
  <si>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0569.7P63</t>
  </si>
  <si>
    <t>Prestação Jurisdicional na Justiça Federal / Aquisição de Edifício-Sede do TRF da 3ª Região em São Paulo</t>
  </si>
  <si>
    <t>5</t>
  </si>
  <si>
    <t>2010</t>
  </si>
  <si>
    <t>Prestação Jurisdicional na Justiça Federal / Reforma do Edifício Sede do TRF da 3ª Região em São Paulo - SP</t>
  </si>
  <si>
    <t>0569.1136</t>
  </si>
  <si>
    <t>Prestação Jurisdicional na Justiça Federal / Modernização de Instalações da Justiça Federal no Município de SP</t>
  </si>
  <si>
    <t>CELULAS SIAFI = A LIQUIDAR + LIQUIDADO</t>
  </si>
  <si>
    <t>CELULAS SIAFI = LIQUIDADO</t>
  </si>
  <si>
    <t>ANEXO II - DEMONSTRATIVO ORÇAMENTÁRIO DO TRIBUNAL REGIONAL FEDERAL DA TERCEIRA REGIÃO 2010</t>
  </si>
  <si>
    <t>Despesa</t>
  </si>
  <si>
    <t>TipoDespesa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</si>
  <si>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</si>
  <si>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</si>
  <si>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</si>
  <si>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</si>
  <si>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</si>
  <si>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</si>
  <si>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</si>
  <si>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</si>
  <si>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</si>
  <si>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</si>
  <si>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</si>
  <si>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</si>
  <si>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</si>
  <si>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</si>
  <si>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ValFinal</t>
  </si>
  <si>
    <t>501</t>
  </si>
  <si>
    <t>A</t>
  </si>
  <si>
    <t>Sub-Repasses Recebidos</t>
  </si>
  <si>
    <t>Pessoal e Encargo</t>
  </si>
  <si>
    <t>502</t>
  </si>
  <si>
    <t>C</t>
  </si>
  <si>
    <t>503</t>
  </si>
  <si>
    <t>Investimentos</t>
  </si>
  <si>
    <t>504</t>
  </si>
  <si>
    <t>RECEITAS DO EXERCÍCIO DE 2010</t>
  </si>
  <si>
    <t>VERIFICAÇÃO OUTRAS RECEITA</t>
  </si>
  <si>
    <t>Grupo</t>
  </si>
  <si>
    <t>Inciso VI - Receitas</t>
  </si>
  <si>
    <t>TRIBUNAL REGIONAL FEDERAL DA 3ª REGIÃO</t>
  </si>
  <si>
    <t>SECRETARIA DE PLANEJAMENTO, ORÇAMENTO E FINANÇAS</t>
  </si>
  <si>
    <t>ANEXO I</t>
  </si>
  <si>
    <t>ANEXO I - RESTOS A PAGAR</t>
  </si>
  <si>
    <t>Inciso I - Despesas com Pessoal e Encargos</t>
  </si>
  <si>
    <t>Inciso III - Despesas com Investimentos</t>
  </si>
  <si>
    <t>TRF 3</t>
  </si>
  <si>
    <t>0569.3757</t>
  </si>
  <si>
    <t>Prestação Jurisdicional na Justiça Federal / Impl. de Sist. Integ. de Gestão de Inform. Jurisd.</t>
  </si>
  <si>
    <t>02.126</t>
  </si>
  <si>
    <t>0569.12OV</t>
  </si>
  <si>
    <t>Prestação Jurisdicional na Justiça Federal / Aquisição de Imóveis para Funcionamento do TRF da 3ª Região</t>
  </si>
  <si>
    <t>ValorRP</t>
  </si>
  <si>
    <t>Encargos sociais incidentes sobre a remuneração de pessoal</t>
  </si>
  <si>
    <t>Valores em R$ 1,00</t>
  </si>
  <si>
    <t>Serviços de vigilância armada e desarmada</t>
  </si>
  <si>
    <t>Aquisição de material de processamento de dados e de softwares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</si>
  <si>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</si>
  <si>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</si>
  <si>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</si>
  <si>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</si>
  <si>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</si>
  <si>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 xml:space="preserve">Valores em R$ </t>
  </si>
  <si>
    <t>Valores em R$</t>
  </si>
  <si>
    <t>Valores R$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</si>
  <si>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</si>
  <si>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</si>
  <si>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CÉLULAS ==&gt;</t>
  </si>
  <si>
    <t>É sentença judicial, "C16" ? Então OK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</si>
  <si>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</si>
  <si>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</si>
  <si>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</si>
  <si>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</si>
  <si>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</si>
  <si>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</si>
  <si>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</si>
  <si>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</si>
  <si>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</si>
  <si>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</si>
  <si>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</si>
  <si>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</si>
  <si>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</si>
  <si>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</si>
  <si>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</si>
  <si>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</si>
  <si>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</si>
  <si>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</si>
  <si>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</si>
  <si>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</si>
  <si>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</si>
  <si>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</si>
  <si>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</si>
  <si>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</si>
  <si>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</si>
  <si>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</si>
  <si>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</si>
  <si>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</si>
  <si>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</si>
  <si>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</si>
  <si>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</si>
  <si>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</si>
  <si>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</si>
  <si>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</si>
  <si>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</si>
  <si>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</si>
  <si>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</si>
  <si>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</si>
  <si>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</si>
  <si>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</si>
  <si>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</si>
  <si>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</si>
  <si>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OK SENTENÇA JUDICIAL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</si>
  <si>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</si>
  <si>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</si>
  <si>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</si>
  <si>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</si>
  <si>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Serviços médicos e hospitalares, odontológicos e laboratoriais - inciso II alinea y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</si>
  <si>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</si>
  <si>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</si>
  <si>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</si>
  <si>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</si>
  <si>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</si>
  <si>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</si>
  <si>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</si>
  <si>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Serviços de comunicação em geral - inciso II alinea l - Res. 102 CNJ</t>
  </si>
  <si>
    <t>Demais despesas de custeio - inciso II alinea z - Res. 102 CNJ</t>
  </si>
  <si>
    <t>Diárias pagas a servidores, empregados e colaboradores - inciso II alinea e - Res. 102 CNJ</t>
  </si>
  <si>
    <t>Passagens e despesas com locomoção - inciso II alinea f - Res. 102 CNJ</t>
  </si>
  <si>
    <t>Serviços de energia elétrica - inciso II alinea j - Res. 102 CNJ</t>
  </si>
  <si>
    <t>Serviços de telecomunicações - inciso II alinea k - Res. 102 CNJ</t>
  </si>
  <si>
    <t>Serviços de limpeza e conservação - inciso II alinea n - Res. 102 CNJ</t>
  </si>
  <si>
    <t>Locação de mão de obra e postos de trabalho, ressalvado o apropriado nas alineas "n" e "o" - inciso II alinea q - Res. 102 CNJ</t>
  </si>
  <si>
    <t>Aluguel de imóveis - inciso II alinea h - Res. 102 CNJ</t>
  </si>
  <si>
    <t>Serviços de de vigilância armada e desarmada - inciso II alinea o - Res. 102 CNJ</t>
  </si>
  <si>
    <t>Serviços de publicidade - inciso II alinea p - Res. 102 CNJ</t>
  </si>
  <si>
    <t>Serviços de água e esgoto - inciso II alinea i - Res. 102 CNJ</t>
  </si>
  <si>
    <t>Aquisição de combustíveis e lubrificantes - inciso II alinea v - Res. 102 CNJ</t>
  </si>
  <si>
    <t>Aquisição de material de consumo, ressalvado o apropriado nas alineas "s" a "w" - inciso II alinea x - Res. 102 CNJ</t>
  </si>
  <si>
    <t>Benefícios a servidores e empregados - auxílio transporte - inciso II alinea a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</si>
  <si>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</si>
  <si>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Aquisição de gêneros alimentícios - inciso II alinea w - Res. 102 CNJ</t>
  </si>
  <si>
    <t>Benefícios a servidores e empregados - auxílio creche - inciso II alinea c - Res. 102 CNJ</t>
  </si>
  <si>
    <t>Benefícios a servidores e empregados - auxílio alimentação - inciso II alinea b - Res. 102 CNJ</t>
  </si>
  <si>
    <t>Benefícios a servidores e empregados - assistência médica e odontológica - inciso II alinea d - Res. 102 CNJ</t>
  </si>
  <si>
    <t>Despesas com pessoal inativo e pensões - inciso I alinea b - Res. 102 CNJ</t>
  </si>
  <si>
    <t>Serviços de seleção e treinamento - inciso II alinea r - Res. 102 CNJ</t>
  </si>
  <si>
    <t>Aquisição de material de expediente - inciso II alinea s - Res. 102 CNJ</t>
  </si>
  <si>
    <t>Indenizações de ajuda de custo, transporte e auxílio moradia - inciso II alinea g - Res. 102 CNJ</t>
  </si>
  <si>
    <t>Aquisição de material de processamento de dados e de software - inciso II alinea t - Res. 102 CNJ</t>
  </si>
  <si>
    <t>Aquisição de material permanente - demais itens - inciso III alinea e - Res. 102 CNJ</t>
  </si>
  <si>
    <t>Aquisição de material bibliográfico - inciso II alinea u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</si>
  <si>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</si>
  <si>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</si>
  <si>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Pessoal e encargos - inciso V alinea a - Res. 102 CNJ</t>
  </si>
  <si>
    <t>Investimentos - inciso V alinea c - Res. 102 CNJ</t>
  </si>
  <si>
    <t>Inversões financeiras - inciso V alinea d - Res. 102 CNJ</t>
  </si>
  <si>
    <t>CÉLULAS trf - emag==&gt;</t>
  </si>
  <si>
    <t>==&gt; é igual C16? Então OK</t>
  </si>
  <si>
    <t>EMPENHOS LIQUIDADOS  TRF e EMAG ==&gt; 622.920.103 (+) 622.920.104</t>
  </si>
  <si>
    <t>COTA FINANCEIRA DE RESTOS A PAGAR - RECEBIDA    ==&gt; 822.240.400   TRF e EMAG</t>
  </si>
  <si>
    <t>COTA FINANCEIRA RECEBIDA                                         ==&gt; 822.230.400   TRF e EMAG</t>
  </si>
  <si>
    <t>D</t>
  </si>
  <si>
    <t>622920103 / 104 - EMPENHOS LIQUIDADOS</t>
  </si>
  <si>
    <t>622920103 / 104 - EMPENHOS LIQUIDADOS - EMAG</t>
  </si>
  <si>
    <t>OK</t>
  </si>
  <si>
    <t>"OK"</t>
  </si>
  <si>
    <t>CECÍLIA MARCONDES</t>
  </si>
  <si>
    <t>2) No mês de janeiro as despesas alusivas a competência de dezembro foram pagas como Restos a Pagar.</t>
  </si>
  <si>
    <t>COTA FINANCEIRA DOCUMENTO ELETRONICO                ==&gt; 822.230.800   TRF e EMAG</t>
  </si>
  <si>
    <t>12/2016</t>
  </si>
  <si>
    <t>Em Dezembro esse valor é o que foi para a "aba" de RESTOS A PAGAR ?? Então OK</t>
  </si>
  <si>
    <t>2) No mês de dezembro ocorreu alteração no inciso V, alínea "b", devido a devolução de sub-repasse.</t>
  </si>
  <si>
    <t>01/2017</t>
  </si>
  <si>
    <t>02/2017</t>
  </si>
  <si>
    <t xml:space="preserve">                                          ==&gt; 822.230.500   TRF e EMAG</t>
  </si>
  <si>
    <t>SUB-REPASSE FIM. REC. DIFERIDO</t>
  </si>
  <si>
    <t>03/2017</t>
  </si>
  <si>
    <t>2) No mês de março ocorreram alterações no insico V, alíneas "a" e "b" - Alteração na conta de Sub-Repasse</t>
  </si>
  <si>
    <t>04/2017</t>
  </si>
  <si>
    <t>3) No mês de abril ocoreu alteração no Inciso V, alínea "b", devido a devolução de Sub-Repasse Recebido.</t>
  </si>
  <si>
    <t>05/2017</t>
  </si>
  <si>
    <t>06/2017</t>
  </si>
  <si>
    <t>07/2017</t>
  </si>
  <si>
    <t xml:space="preserve">                              </t>
  </si>
  <si>
    <t>2) Em agosto foi alterado o Inciso VI, alínea "d", informação indevida de exercícios anteriores.</t>
  </si>
  <si>
    <t>08/2017</t>
  </si>
  <si>
    <t>09/2017</t>
  </si>
  <si>
    <t>10/2017</t>
  </si>
  <si>
    <t>4) No mês de outubro ocorreu alteração no inciso V, alínea "b" , devido a devolução de sub-repasse.</t>
  </si>
  <si>
    <t>11/2017</t>
  </si>
  <si>
    <t>17/01/2018 - 13:06:33</t>
  </si>
  <si>
    <t>17/01/2018 - 13:07:45</t>
  </si>
  <si>
    <t>17/01/2018 - 13:02:05</t>
  </si>
  <si>
    <t>17/01/2018-13:03:52</t>
  </si>
  <si>
    <t>17/01/2018-13:03:53</t>
  </si>
  <si>
    <t>CONOR CRÉD LIQ.</t>
  </si>
  <si>
    <t>LIQ. POR INSCR. RP</t>
  </si>
  <si>
    <t>LIQ. INCR. RPP</t>
  </si>
  <si>
    <t>622.920.107 LIQ. INSCR. EM RPP</t>
  </si>
  <si>
    <t>5) No mês de novembro ocorreu alteração no inciso V, alínea "b" , devido a devolução de sub-repasse.</t>
  </si>
  <si>
    <t>2) No mês de dezembro ocorreu alteração no inciso V, alínea "b", devido a devolução de sub-repasse</t>
  </si>
  <si>
    <t>2) no mês de dezembro ocorreu alteração no  inciso V, "alínea "b", devido devolução de sub-repasse</t>
  </si>
  <si>
    <t>2) no mês de dezembro ocorreu alteração no  inciso V, "alínea "a", devido devolução de sub-repasse</t>
  </si>
  <si>
    <t>6) No mês de dezembro ocorreu alteração no inciso V, alínea "b" , devido a devolução de sub-repasse.</t>
  </si>
  <si>
    <t>3) No mês de dezembro ocorreram alterações no incico V, alínea "b" devido a devolução de sub-repasse</t>
  </si>
  <si>
    <t>2016 18/01/2018</t>
  </si>
  <si>
    <t>RESTOS A PAGAR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</si>
</sst>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\-#,##0.00\ "/>
    <numFmt numFmtId="165" formatCode="#,##0.00;[Red]#,##0.00"/>
    <numFmt numFmtId="166" formatCode="#,##0.00_ ;[Red]\-#,##0.00\ "/>
    <numFmt numFmtId="167" formatCode="_-* #,##0.0000_-;\-* #,##0.00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2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4" fontId="0" fillId="2" borderId="1" xfId="0" applyNumberFormat="1" applyFill="1" applyBorder="1" applyAlignment="1">
      <alignment wrapText="1"/>
    </xf>
    <xf numFmtId="4" fontId="5" fillId="2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10" fontId="0" fillId="0" borderId="0" xfId="0" applyNumberForma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3" xfId="2" applyFont="1" applyBorder="1"/>
    <xf numFmtId="43" fontId="0" fillId="0" borderId="1" xfId="2" applyFont="1" applyBorder="1"/>
    <xf numFmtId="43" fontId="0" fillId="0" borderId="14" xfId="2" applyFont="1" applyBorder="1"/>
    <xf numFmtId="0" fontId="0" fillId="0" borderId="15" xfId="0" applyBorder="1"/>
    <xf numFmtId="0" fontId="0" fillId="0" borderId="16" xfId="0" applyBorder="1"/>
    <xf numFmtId="165" fontId="6" fillId="0" borderId="0" xfId="1" applyNumberFormat="1" applyFont="1" applyFill="1" applyBorder="1" applyAlignment="1">
      <alignment horizontal="right" wrapText="1"/>
    </xf>
    <xf numFmtId="0" fontId="0" fillId="0" borderId="0" xfId="0" applyBorder="1"/>
    <xf numFmtId="43" fontId="0" fillId="0" borderId="0" xfId="2" applyFont="1" applyBorder="1"/>
    <xf numFmtId="4" fontId="7" fillId="0" borderId="0" xfId="0" applyNumberFormat="1" applyFont="1"/>
    <xf numFmtId="4" fontId="0" fillId="3" borderId="1" xfId="0" applyNumberFormat="1" applyFill="1" applyBorder="1" applyAlignment="1">
      <alignment wrapText="1"/>
    </xf>
    <xf numFmtId="43" fontId="0" fillId="0" borderId="0" xfId="2" applyFont="1"/>
    <xf numFmtId="4" fontId="0" fillId="2" borderId="18" xfId="0" applyNumberFormat="1" applyFill="1" applyBorder="1"/>
    <xf numFmtId="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40" fontId="0" fillId="0" borderId="0" xfId="0" applyNumberFormat="1"/>
    <xf numFmtId="0" fontId="0" fillId="0" borderId="0" xfId="0" quotePrefix="1"/>
    <xf numFmtId="0" fontId="0" fillId="3" borderId="1" xfId="0" applyFill="1" applyBorder="1" applyAlignment="1"/>
    <xf numFmtId="0" fontId="0" fillId="0" borderId="1" xfId="0" applyBorder="1" applyAlignment="1">
      <alignment horizontal="left" vertical="center" wrapText="1"/>
    </xf>
    <xf numFmtId="166" fontId="0" fillId="0" borderId="0" xfId="0" applyNumberFormat="1"/>
    <xf numFmtId="0" fontId="3" fillId="0" borderId="0" xfId="0" applyFont="1" applyBorder="1" applyAlignment="1">
      <alignment horizontal="center" vertical="center"/>
    </xf>
    <xf numFmtId="43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1" xfId="2" applyFont="1" applyBorder="1" applyAlignment="1">
      <alignment horizontal="center"/>
    </xf>
    <xf numFmtId="43" fontId="0" fillId="3" borderId="1" xfId="2" applyFont="1" applyFill="1" applyBorder="1" applyAlignment="1"/>
    <xf numFmtId="0" fontId="3" fillId="0" borderId="0" xfId="0" applyFont="1" applyBorder="1" applyAlignment="1">
      <alignment horizontal="center" vertical="center"/>
    </xf>
    <xf numFmtId="40" fontId="0" fillId="0" borderId="0" xfId="2" applyNumberFormat="1" applyFont="1"/>
    <xf numFmtId="40" fontId="0" fillId="0" borderId="1" xfId="2" applyNumberFormat="1" applyFont="1" applyBorder="1" applyAlignment="1">
      <alignment horizontal="center"/>
    </xf>
    <xf numFmtId="40" fontId="0" fillId="0" borderId="1" xfId="0" applyNumberFormat="1" applyBorder="1" applyAlignment="1">
      <alignment horizontal="center"/>
    </xf>
    <xf numFmtId="40" fontId="0" fillId="0" borderId="1" xfId="2" applyNumberFormat="1" applyFont="1" applyBorder="1"/>
    <xf numFmtId="40" fontId="0" fillId="0" borderId="1" xfId="0" applyNumberFormat="1" applyBorder="1"/>
    <xf numFmtId="40" fontId="0" fillId="2" borderId="1" xfId="0" applyNumberFormat="1" applyFill="1" applyBorder="1"/>
    <xf numFmtId="40" fontId="0" fillId="3" borderId="1" xfId="2" applyNumberFormat="1" applyFont="1" applyFill="1" applyBorder="1" applyAlignment="1"/>
    <xf numFmtId="40" fontId="0" fillId="3" borderId="1" xfId="0" applyNumberFormat="1" applyFill="1" applyBorder="1"/>
    <xf numFmtId="40" fontId="0" fillId="3" borderId="1" xfId="0" applyNumberFormat="1" applyFill="1" applyBorder="1" applyAlignment="1">
      <alignment horizontal="center"/>
    </xf>
    <xf numFmtId="43" fontId="1" fillId="0" borderId="1" xfId="2" applyFont="1" applyBorder="1"/>
    <xf numFmtId="43" fontId="0" fillId="2" borderId="1" xfId="2" applyFont="1" applyFill="1" applyBorder="1"/>
    <xf numFmtId="43" fontId="0" fillId="3" borderId="1" xfId="2" applyFont="1" applyFill="1" applyBorder="1"/>
    <xf numFmtId="43" fontId="0" fillId="3" borderId="1" xfId="2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0" xfId="2" applyFont="1" applyAlignment="1">
      <alignment horizontal="right"/>
    </xf>
    <xf numFmtId="40" fontId="0" fillId="3" borderId="1" xfId="0" applyNumberFormat="1" applyFill="1" applyBorder="1" applyAlignment="1"/>
    <xf numFmtId="0" fontId="1" fillId="0" borderId="0" xfId="0" quotePrefix="1" applyFont="1"/>
    <xf numFmtId="0" fontId="1" fillId="0" borderId="0" xfId="0" quotePrefix="1" applyFont="1" applyFill="1" applyBorder="1"/>
    <xf numFmtId="0" fontId="1" fillId="0" borderId="0" xfId="0" applyFont="1"/>
    <xf numFmtId="0" fontId="1" fillId="0" borderId="19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39" fontId="0" fillId="0" borderId="0" xfId="0" applyNumberFormat="1"/>
    <xf numFmtId="167" fontId="0" fillId="0" borderId="0" xfId="2" applyNumberFormat="1" applyFont="1"/>
    <xf numFmtId="40" fontId="1" fillId="0" borderId="1" xfId="2" quotePrefix="1" applyNumberFormat="1" applyFont="1" applyBorder="1" applyAlignment="1">
      <alignment horizontal="center" vertical="center" shrinkToFit="1"/>
    </xf>
    <xf numFmtId="40" fontId="1" fillId="0" borderId="1" xfId="2" quotePrefix="1" applyNumberFormat="1" applyFont="1" applyBorder="1" applyAlignment="1">
      <alignment horizontal="center" vertical="center" wrapText="1"/>
    </xf>
    <xf numFmtId="40" fontId="1" fillId="0" borderId="0" xfId="2" quotePrefix="1" applyNumberFormat="1" applyFont="1"/>
    <xf numFmtId="40" fontId="10" fillId="0" borderId="0" xfId="2" applyNumberFormat="1" applyFont="1"/>
    <xf numFmtId="0" fontId="1" fillId="0" borderId="0" xfId="0" applyFont="1" applyBorder="1" applyAlignment="1">
      <alignment horizontal="left" shrinkToFi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0" fillId="0" borderId="19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17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23" xfId="0" applyFont="1" applyBorder="1" applyAlignment="1">
      <alignment horizontal="left" shrinkToFit="1"/>
    </xf>
    <xf numFmtId="0" fontId="0" fillId="0" borderId="24" xfId="0" applyBorder="1" applyAlignment="1">
      <alignment horizontal="left" shrinkToFit="1"/>
    </xf>
    <xf numFmtId="0" fontId="0" fillId="0" borderId="9" xfId="0" applyBorder="1" applyAlignment="1">
      <alignment horizontal="left" shrinkToFit="1"/>
    </xf>
    <xf numFmtId="0" fontId="0" fillId="0" borderId="17" xfId="0" applyBorder="1" applyAlignment="1">
      <alignment horizontal="left" shrinkToFit="1"/>
    </xf>
    <xf numFmtId="0" fontId="0" fillId="0" borderId="20" xfId="0" applyBorder="1" applyAlignment="1">
      <alignment horizontal="left"/>
    </xf>
    <xf numFmtId="0" fontId="1" fillId="0" borderId="0" xfId="0" applyFont="1" applyBorder="1" applyAlignment="1">
      <alignment horizontal="left" shrinkToFit="1"/>
    </xf>
    <xf numFmtId="49" fontId="1" fillId="0" borderId="19" xfId="0" applyNumberFormat="1" applyFont="1" applyBorder="1" applyAlignment="1">
      <alignment horizontal="left"/>
    </xf>
    <xf numFmtId="49" fontId="0" fillId="0" borderId="13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shrinkToFit="1"/>
    </xf>
    <xf numFmtId="0" fontId="1" fillId="0" borderId="0" xfId="0" applyFont="1" applyAlignment="1">
      <alignment horizontal="left" shrinkToFit="1"/>
    </xf>
    <xf numFmtId="14" fontId="1" fillId="0" borderId="1" xfId="0" applyNumberFormat="1" applyFont="1" applyBorder="1" applyAlignment="1">
      <alignment horizontal="left"/>
    </xf>
    <xf numFmtId="0" fontId="1" fillId="0" borderId="20" xfId="0" applyFont="1" applyBorder="1" applyAlignment="1">
      <alignment horizontal="left" shrinkToFit="1"/>
    </xf>
    <xf numFmtId="0" fontId="0" fillId="0" borderId="1" xfId="0" applyBorder="1" applyAlignment="1"/>
    <xf numFmtId="49" fontId="1" fillId="0" borderId="1" xfId="0" applyNumberFormat="1" applyFont="1" applyBorder="1" applyAlignment="1"/>
    <xf numFmtId="49" fontId="0" fillId="0" borderId="1" xfId="0" applyNumberFormat="1" applyBorder="1" applyAlignment="1"/>
    <xf numFmtId="0" fontId="0" fillId="0" borderId="21" xfId="0" applyBorder="1" applyAlignment="1">
      <alignment horizontal="left" shrinkToFit="1"/>
    </xf>
    <xf numFmtId="0" fontId="0" fillId="0" borderId="22" xfId="0" applyBorder="1" applyAlignment="1">
      <alignment horizontal="left" shrinkToFit="1"/>
    </xf>
    <xf numFmtId="0" fontId="5" fillId="0" borderId="17" xfId="0" applyFont="1" applyBorder="1" applyAlignment="1">
      <alignment horizontal="left" vertical="center" shrinkToFit="1"/>
    </xf>
    <xf numFmtId="0" fontId="9" fillId="4" borderId="0" xfId="0" applyFont="1" applyFill="1" applyAlignment="1">
      <alignment horizontal="center" vertical="center" wrapText="1"/>
    </xf>
    <xf numFmtId="0" fontId="0" fillId="0" borderId="17" xfId="0" applyFont="1" applyFill="1" applyBorder="1" applyAlignment="1">
      <alignment horizontal="left" shrinkToFit="1"/>
    </xf>
    <xf numFmtId="0" fontId="5" fillId="0" borderId="19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3">
    <cellStyle name="Normal" xfId="0" builtinId="0"/>
    <cellStyle name="Normal_TRF" xfId="1"/>
    <cellStyle name="Vírgula" xfId="2" builtin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984885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64882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782175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98</xdr:row>
      <xdr:rowOff>142875</xdr:rowOff>
    </xdr:from>
    <xdr:to>
      <xdr:col>5</xdr:col>
      <xdr:colOff>161925</xdr:colOff>
      <xdr:row>100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10001250" y="16821150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97</xdr:row>
      <xdr:rowOff>142875</xdr:rowOff>
    </xdr:from>
    <xdr:to>
      <xdr:col>5</xdr:col>
      <xdr:colOff>161925</xdr:colOff>
      <xdr:row>99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9486900" y="16983075"/>
          <a:ext cx="1619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91</xdr:row>
      <xdr:rowOff>41413</xdr:rowOff>
    </xdr:from>
    <xdr:to>
      <xdr:col>6</xdr:col>
      <xdr:colOff>281608</xdr:colOff>
      <xdr:row>92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09607" y="16395838"/>
          <a:ext cx="273326" cy="12879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queryTables/queryTable1.xml><?xml version="1.0" encoding="utf-8"?>
<queryTable xmlns="http://schemas.openxmlformats.org/spreadsheetml/2006/main" name="Despesa TRF - 2013" connectionId="3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2.xml><?xml version="1.0" encoding="utf-8"?>
<queryTable xmlns="http://schemas.openxmlformats.org/spreadsheetml/2006/main" name="Despesa EMAG - 2014" connectionId="2" autoFormatId="16" applyNumberFormats="0" applyBorderFormats="0" applyFontFormats="0" applyPatternFormats="0" applyAlignmentFormats="0" applyWidthHeightFormats="0">
  <queryTableRefresh nextId="18">
    <queryTableFields count="17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</queryTableFields>
  </queryTableRefresh>
</queryTable>
</file>

<file path=xl/queryTables/queryTable3.xml><?xml version="1.0" encoding="utf-8"?>
<queryTable xmlns="http://schemas.openxmlformats.org/spreadsheetml/2006/main" name="Repasse TRF - 2013" connectionId="5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4.xml><?xml version="1.0" encoding="utf-8"?>
<queryTable xmlns="http://schemas.openxmlformats.org/spreadsheetml/2006/main" name="Repasse EMAG - 2014" connectionId="4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5.xml><?xml version="1.0" encoding="utf-8"?>
<queryTable xmlns="http://schemas.openxmlformats.org/spreadsheetml/2006/main" name="Consulta de Banco de dados do MS Access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queryTables/queryTable6.xml><?xml version="1.0" encoding="utf-8"?>
<queryTable xmlns="http://schemas.openxmlformats.org/spreadsheetml/2006/main" name="Restos a Pagar TRF - 2013" connectionId="9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7.xml><?xml version="1.0" encoding="utf-8"?>
<queryTable xmlns="http://schemas.openxmlformats.org/spreadsheetml/2006/main" name="Restos a Pagar TRF - 2013_1" connectionId="10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table1.xml><?xml version="1.0" encoding="utf-8"?>
<table xmlns="http://schemas.openxmlformats.org/spreadsheetml/2006/main" id="1" name="Tabela_Despesa_TRF___2013" displayName="Tabela_Despesa_TRF___2013" ref="A1:Q38" tableType="queryTable" totalsRowShown="0">
  <autoFilter ref="A1:Q38"/>
  <sortState ref="A2:Q38">
    <sortCondition ref="B2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ela_Despesa_EMAG___2014" displayName="Tabela_Despesa_EMAG___2014" ref="A1:Q38" tableType="queryTable" totalsRowShown="0">
  <autoFilter ref="A1:Q38"/>
  <sortState ref="A2:Q38">
    <sortCondition ref="B1:B38"/>
  </sortState>
  <tableColumns count="17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ela_Repasse_TRF___2013" displayName="Tabela_Repasse_TRF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ela_Repasse_EMAG___2014" displayName="Tabela_Repasse_EMAG___2014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Restos_a_Pagar_TRF___2013" displayName="Tabela_Restos_a_Pagar_TRF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1" dataCellStyle="Vírgula"/>
    <tableColumn id="6" uniqueName="6" name="Ano" queryTableField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ela_Restos_a_Pagar_TRF___20138" displayName="Tabela_Restos_a_Pagar_TRF___20138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"/>
  <sheetViews>
    <sheetView showGridLines="0" view="pageBreakPreview" topLeftCell="A79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  <col min="6" max="6" width="9.140625" style="54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">
        <v>221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">
        <v>222</v>
      </c>
      <c r="C6" s="107"/>
    </row>
    <row r="7" spans="1:3" x14ac:dyDescent="0.2">
      <c r="A7" s="2" t="s">
        <v>36</v>
      </c>
      <c r="B7" s="104" t="s">
        <v>353</v>
      </c>
      <c r="C7" s="105"/>
    </row>
    <row r="8" spans="1:3" x14ac:dyDescent="0.2">
      <c r="A8" s="2" t="s">
        <v>37</v>
      </c>
      <c r="B8" s="106">
        <v>42776</v>
      </c>
      <c r="C8" s="107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Access'!E2+'Despesa - Access Emag'!E2</f>
        <v>42654343.520000003</v>
      </c>
    </row>
    <row r="14" spans="1:3" x14ac:dyDescent="0.2">
      <c r="A14" s="2" t="s">
        <v>41</v>
      </c>
      <c r="B14" s="5" t="s">
        <v>2</v>
      </c>
      <c r="C14" s="10">
        <f>'Despesa - Access'!E3+'Despesa - Access Emag'!E3</f>
        <v>11063941.060000001</v>
      </c>
    </row>
    <row r="15" spans="1:3" x14ac:dyDescent="0.2">
      <c r="A15" s="2" t="s">
        <v>42</v>
      </c>
      <c r="B15" s="5" t="s">
        <v>234</v>
      </c>
      <c r="C15" s="10">
        <f>'Despesa - Access'!E4+'Despesa - Access Emag'!E4</f>
        <v>5315199.38</v>
      </c>
    </row>
    <row r="16" spans="1:3" ht="51" x14ac:dyDescent="0.2">
      <c r="A16" s="6" t="s">
        <v>43</v>
      </c>
      <c r="B16" s="5" t="s">
        <v>242</v>
      </c>
      <c r="C16" s="10">
        <v>0</v>
      </c>
    </row>
    <row r="17" spans="1:5" x14ac:dyDescent="0.2">
      <c r="A17" s="103" t="s">
        <v>71</v>
      </c>
      <c r="B17" s="103"/>
      <c r="C17" s="10">
        <f>SUM(C13:C16)</f>
        <v>59033483.960000008</v>
      </c>
      <c r="D17" s="54">
        <v>59033483.960000001</v>
      </c>
      <c r="E17" s="54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Access'!E6+'Despesa - Access Emag'!E6</f>
        <v>90455.56</v>
      </c>
    </row>
    <row r="23" spans="1:5" x14ac:dyDescent="0.2">
      <c r="A23" s="2" t="s">
        <v>41</v>
      </c>
      <c r="B23" s="2" t="s">
        <v>4</v>
      </c>
      <c r="C23" s="10">
        <f>'Despesa - Access'!E7+'Despesa - Access Emag'!E7</f>
        <v>1611773.2</v>
      </c>
    </row>
    <row r="24" spans="1:5" x14ac:dyDescent="0.2">
      <c r="A24" s="2" t="s">
        <v>42</v>
      </c>
      <c r="B24" s="2" t="s">
        <v>5</v>
      </c>
      <c r="C24" s="10">
        <f>'Despesa - Access'!E8+'Despesa - Access Emag'!E8</f>
        <v>169857</v>
      </c>
    </row>
    <row r="25" spans="1:5" x14ac:dyDescent="0.2">
      <c r="A25" s="2" t="s">
        <v>43</v>
      </c>
      <c r="B25" s="2" t="s">
        <v>6</v>
      </c>
      <c r="C25" s="10">
        <f>'Despesa - Access'!E9+'Despesa - Access Emag'!E9</f>
        <v>42787.61</v>
      </c>
    </row>
    <row r="26" spans="1:5" x14ac:dyDescent="0.2">
      <c r="A26" s="2" t="s">
        <v>45</v>
      </c>
      <c r="B26" s="2" t="s">
        <v>7</v>
      </c>
      <c r="C26" s="10">
        <f>'Despesa - Access'!E10+'Despesa - Access Emag'!E10</f>
        <v>75732.66</v>
      </c>
    </row>
    <row r="27" spans="1:5" x14ac:dyDescent="0.2">
      <c r="A27" s="2" t="s">
        <v>46</v>
      </c>
      <c r="B27" s="2" t="s">
        <v>68</v>
      </c>
      <c r="C27" s="10">
        <f>'Despesa - Access'!E11+'Despesa - Access Emag'!E11</f>
        <v>8057.37</v>
      </c>
    </row>
    <row r="28" spans="1:5" x14ac:dyDescent="0.2">
      <c r="A28" s="2" t="s">
        <v>47</v>
      </c>
      <c r="B28" s="2" t="s">
        <v>8</v>
      </c>
      <c r="C28" s="10">
        <f>'Despesa - Access'!E12+'Despesa - Access Emag'!E12</f>
        <v>194516.79</v>
      </c>
    </row>
    <row r="29" spans="1:5" x14ac:dyDescent="0.2">
      <c r="A29" s="2" t="s">
        <v>48</v>
      </c>
      <c r="B29" s="2" t="s">
        <v>9</v>
      </c>
      <c r="C29" s="10">
        <f>'Despesa - Access'!E13+'Despesa - Access Emag'!E13</f>
        <v>337418</v>
      </c>
    </row>
    <row r="30" spans="1:5" x14ac:dyDescent="0.2">
      <c r="A30" s="2" t="s">
        <v>49</v>
      </c>
      <c r="B30" s="2" t="s">
        <v>10</v>
      </c>
      <c r="C30" s="10">
        <f>'Despesa - Access'!E14+'Despesa - Access Emag'!E14</f>
        <v>0</v>
      </c>
    </row>
    <row r="31" spans="1:5" x14ac:dyDescent="0.2">
      <c r="A31" s="2" t="s">
        <v>50</v>
      </c>
      <c r="B31" s="2" t="s">
        <v>11</v>
      </c>
      <c r="C31" s="10">
        <f>'Despesa - Access'!E15+'Despesa - Access Emag'!E15</f>
        <v>0</v>
      </c>
    </row>
    <row r="32" spans="1:5" x14ac:dyDescent="0.2">
      <c r="A32" s="2" t="s">
        <v>51</v>
      </c>
      <c r="B32" s="2" t="s">
        <v>12</v>
      </c>
      <c r="C32" s="10">
        <f>'Despesa - Access'!E16+'Despesa - Access Emag'!E16</f>
        <v>0</v>
      </c>
    </row>
    <row r="33" spans="1:5" x14ac:dyDescent="0.2">
      <c r="A33" s="2" t="s">
        <v>52</v>
      </c>
      <c r="B33" s="2" t="s">
        <v>13</v>
      </c>
      <c r="C33" s="10">
        <f>'Despesa - Access'!E17+'Despesa - Access Emag'!E17</f>
        <v>0</v>
      </c>
    </row>
    <row r="34" spans="1:5" ht="63.75" x14ac:dyDescent="0.2">
      <c r="A34" s="6" t="s">
        <v>53</v>
      </c>
      <c r="B34" s="7" t="s">
        <v>246</v>
      </c>
      <c r="C34" s="10">
        <f>'Despesa - Access'!E18+'Despesa - Access Emag'!E18</f>
        <v>0</v>
      </c>
    </row>
    <row r="35" spans="1:5" x14ac:dyDescent="0.2">
      <c r="A35" s="2" t="s">
        <v>54</v>
      </c>
      <c r="B35" s="2" t="s">
        <v>14</v>
      </c>
      <c r="C35" s="10">
        <f>'Despesa - Access'!E19+'Despesa - Access Emag'!E19</f>
        <v>0</v>
      </c>
    </row>
    <row r="36" spans="1:5" x14ac:dyDescent="0.2">
      <c r="A36" s="2" t="s">
        <v>55</v>
      </c>
      <c r="B36" s="2" t="s">
        <v>236</v>
      </c>
      <c r="C36" s="10">
        <f>'Despesa - Access'!E20+'Despesa - Access Emag'!E20</f>
        <v>0</v>
      </c>
    </row>
    <row r="37" spans="1:5" x14ac:dyDescent="0.2">
      <c r="A37" s="2" t="s">
        <v>56</v>
      </c>
      <c r="B37" s="2" t="s">
        <v>15</v>
      </c>
      <c r="C37" s="10">
        <f>'Despesa - Access'!E21+'Despesa - Access Emag'!E21</f>
        <v>0</v>
      </c>
    </row>
    <row r="38" spans="1:5" ht="25.5" x14ac:dyDescent="0.2">
      <c r="A38" s="6" t="s">
        <v>57</v>
      </c>
      <c r="B38" s="26" t="s">
        <v>69</v>
      </c>
      <c r="C38" s="10">
        <f>'Despesa - Access'!E22+'Despesa - Access Emag'!E22</f>
        <v>0</v>
      </c>
    </row>
    <row r="39" spans="1:5" x14ac:dyDescent="0.2">
      <c r="A39" s="2" t="s">
        <v>58</v>
      </c>
      <c r="B39" s="2" t="s">
        <v>16</v>
      </c>
      <c r="C39" s="10">
        <f>'Despesa - Access'!E23+'Despesa - Access Emag'!E23</f>
        <v>3100</v>
      </c>
    </row>
    <row r="40" spans="1:5" x14ac:dyDescent="0.2">
      <c r="A40" s="2" t="s">
        <v>59</v>
      </c>
      <c r="B40" s="2" t="s">
        <v>17</v>
      </c>
      <c r="C40" s="10">
        <f>'Despesa - Access'!E24+'Despesa - Access Emag'!E24</f>
        <v>0</v>
      </c>
    </row>
    <row r="41" spans="1:5" x14ac:dyDescent="0.2">
      <c r="A41" s="2" t="s">
        <v>60</v>
      </c>
      <c r="B41" s="2" t="s">
        <v>18</v>
      </c>
      <c r="C41" s="10">
        <f>'Despesa - Access'!E25+'Despesa - Access Emag'!E25</f>
        <v>0</v>
      </c>
    </row>
    <row r="42" spans="1:5" x14ac:dyDescent="0.2">
      <c r="A42" s="2" t="s">
        <v>61</v>
      </c>
      <c r="B42" s="2" t="s">
        <v>19</v>
      </c>
      <c r="C42" s="10">
        <f>'Despesa - Access'!E26+'Despesa - Access Emag'!E26</f>
        <v>0</v>
      </c>
    </row>
    <row r="43" spans="1:5" x14ac:dyDescent="0.2">
      <c r="A43" s="2" t="s">
        <v>62</v>
      </c>
      <c r="B43" s="2" t="s">
        <v>20</v>
      </c>
      <c r="C43" s="10">
        <f>'Despesa - Access'!E27+'Despesa - Access Emag'!E27</f>
        <v>0</v>
      </c>
    </row>
    <row r="44" spans="1:5" x14ac:dyDescent="0.2">
      <c r="A44" s="2" t="s">
        <v>63</v>
      </c>
      <c r="B44" s="2" t="s">
        <v>21</v>
      </c>
      <c r="C44" s="10">
        <f>'Despesa - Access'!E28+'Despesa - Access Emag'!E28</f>
        <v>0</v>
      </c>
    </row>
    <row r="45" spans="1:5" x14ac:dyDescent="0.2">
      <c r="A45" s="2" t="s">
        <v>64</v>
      </c>
      <c r="B45" s="2" t="s">
        <v>70</v>
      </c>
      <c r="C45" s="10">
        <f>'Despesa - Access'!E29+'Despesa - Access Emag'!E29</f>
        <v>0</v>
      </c>
    </row>
    <row r="46" spans="1:5" x14ac:dyDescent="0.2">
      <c r="A46" s="2" t="s">
        <v>65</v>
      </c>
      <c r="B46" s="2" t="s">
        <v>22</v>
      </c>
      <c r="C46" s="10">
        <f>'Despesa - Access'!E30+'Despesa - Access Emag'!E30</f>
        <v>0</v>
      </c>
    </row>
    <row r="47" spans="1:5" x14ac:dyDescent="0.2">
      <c r="A47" s="2" t="s">
        <v>66</v>
      </c>
      <c r="B47" s="2" t="s">
        <v>23</v>
      </c>
      <c r="C47" s="10">
        <f>'Despesa - Access'!E31+'Despesa - Access Emag'!E31</f>
        <v>707469.22</v>
      </c>
    </row>
    <row r="48" spans="1:5" x14ac:dyDescent="0.2">
      <c r="A48" s="103" t="s">
        <v>71</v>
      </c>
      <c r="B48" s="103"/>
      <c r="C48" s="10">
        <f>SUM(C22:C47)</f>
        <v>3241167.41</v>
      </c>
      <c r="D48" s="54">
        <v>3241167.41</v>
      </c>
      <c r="E48" s="54">
        <f>+C48-D48</f>
        <v>0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9">
        <f>'Despesa - Access'!E32+'Despesa - Access Emag'!E32</f>
        <v>0</v>
      </c>
    </row>
    <row r="54" spans="1:3" x14ac:dyDescent="0.2">
      <c r="A54" s="2" t="s">
        <v>41</v>
      </c>
      <c r="B54" s="2" t="s">
        <v>26</v>
      </c>
      <c r="C54" s="9">
        <f>'Despesa - Access'!E33+'Despesa - Access Emag'!E33</f>
        <v>0</v>
      </c>
    </row>
    <row r="55" spans="1:3" x14ac:dyDescent="0.2">
      <c r="A55" s="2" t="s">
        <v>42</v>
      </c>
      <c r="B55" s="2" t="s">
        <v>67</v>
      </c>
      <c r="C55" s="9">
        <f>'Despesa - Access'!E34+'Despesa - Access Emag'!E34</f>
        <v>0</v>
      </c>
    </row>
    <row r="56" spans="1:3" x14ac:dyDescent="0.2">
      <c r="A56" s="2" t="s">
        <v>43</v>
      </c>
      <c r="B56" s="2" t="s">
        <v>27</v>
      </c>
      <c r="C56" s="9">
        <f>'Despesa - Access'!E35+'Despesa - Access Emag'!E35</f>
        <v>0</v>
      </c>
    </row>
    <row r="57" spans="1:3" x14ac:dyDescent="0.2">
      <c r="A57" s="2" t="s">
        <v>45</v>
      </c>
      <c r="B57" s="2" t="s">
        <v>28</v>
      </c>
      <c r="C57" s="9">
        <f>'Despesa - Access'!E36+'Despesa - Access Emag'!E36</f>
        <v>0</v>
      </c>
    </row>
    <row r="58" spans="1:3" x14ac:dyDescent="0.2">
      <c r="A58" s="103" t="s">
        <v>71</v>
      </c>
      <c r="B58" s="103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235</v>
      </c>
    </row>
    <row r="63" spans="1:3" x14ac:dyDescent="0.2">
      <c r="A63" s="2" t="s">
        <v>40</v>
      </c>
      <c r="B63" s="2" t="s">
        <v>30</v>
      </c>
      <c r="C63" s="9">
        <f>'Despesa - Access'!E37+'Despesa - Access Emag'!E37</f>
        <v>0</v>
      </c>
    </row>
    <row r="64" spans="1:3" x14ac:dyDescent="0.2">
      <c r="A64" s="2" t="s">
        <v>41</v>
      </c>
      <c r="B64" s="2" t="s">
        <v>31</v>
      </c>
      <c r="C64" s="9">
        <f>'Despesa - Access'!E38+'Despesa - Access Emag'!E38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245</v>
      </c>
    </row>
    <row r="70" spans="1:3" x14ac:dyDescent="0.2">
      <c r="A70" s="2" t="s">
        <v>40</v>
      </c>
      <c r="B70" s="2" t="s">
        <v>75</v>
      </c>
      <c r="C70" s="9">
        <f>'Financeiro - Access'!E2+'Financeiro - Access Emag'!E2</f>
        <v>61534373.539999999</v>
      </c>
    </row>
    <row r="71" spans="1:3" x14ac:dyDescent="0.2">
      <c r="A71" s="2" t="s">
        <v>41</v>
      </c>
      <c r="B71" s="2" t="s">
        <v>76</v>
      </c>
      <c r="C71" s="9">
        <f>'Financeiro - Access'!E3+'Financeiro - Access Emag'!E3</f>
        <v>10365424.74</v>
      </c>
    </row>
    <row r="72" spans="1:3" x14ac:dyDescent="0.2">
      <c r="A72" s="2" t="s">
        <v>42</v>
      </c>
      <c r="B72" s="2" t="s">
        <v>215</v>
      </c>
      <c r="C72" s="9">
        <f>'Financeiro - Access'!E4+'Financeiro - Access Emag'!E4</f>
        <v>50000</v>
      </c>
    </row>
    <row r="73" spans="1:3" x14ac:dyDescent="0.2">
      <c r="A73" s="2" t="s">
        <v>43</v>
      </c>
      <c r="B73" s="2" t="s">
        <v>238</v>
      </c>
      <c r="C73" s="9">
        <f>'Financeiro - Access'!E5+'Financeiro - Access Emag'!E5</f>
        <v>0</v>
      </c>
    </row>
    <row r="74" spans="1:3" x14ac:dyDescent="0.2">
      <c r="A74" s="103" t="s">
        <v>71</v>
      </c>
      <c r="B74" s="103"/>
      <c r="C74" s="10">
        <f>SUM(C70:C73)</f>
        <v>71949798.280000001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3" x14ac:dyDescent="0.2">
      <c r="A81" s="2" t="s">
        <v>42</v>
      </c>
      <c r="B81" s="2" t="s">
        <v>241</v>
      </c>
      <c r="C81" s="9"/>
    </row>
    <row r="82" spans="1:3" x14ac:dyDescent="0.2">
      <c r="A82" s="2" t="s">
        <v>43</v>
      </c>
      <c r="B82" s="2" t="s">
        <v>77</v>
      </c>
      <c r="C82" s="9"/>
    </row>
    <row r="83" spans="1:3" x14ac:dyDescent="0.2">
      <c r="A83" s="103" t="s">
        <v>71</v>
      </c>
      <c r="B83" s="103"/>
      <c r="C83" s="10">
        <f>SUM(C79:C82)</f>
        <v>0</v>
      </c>
    </row>
    <row r="84" spans="1:3" x14ac:dyDescent="0.2">
      <c r="A84" s="113" t="s">
        <v>293</v>
      </c>
      <c r="B84" s="114"/>
      <c r="C84" s="114"/>
    </row>
    <row r="85" spans="1:3" x14ac:dyDescent="0.2">
      <c r="A85" s="115" t="s">
        <v>348</v>
      </c>
      <c r="B85" s="115"/>
      <c r="C85" s="115"/>
    </row>
    <row r="86" spans="1:3" x14ac:dyDescent="0.2">
      <c r="A86" s="115" t="s">
        <v>360</v>
      </c>
      <c r="B86" s="115"/>
      <c r="C86" s="115"/>
    </row>
    <row r="87" spans="1:3" x14ac:dyDescent="0.2">
      <c r="A87" s="116" t="s">
        <v>369</v>
      </c>
      <c r="B87" s="117"/>
      <c r="C87" s="118"/>
    </row>
    <row r="88" spans="1:3" x14ac:dyDescent="0.2">
      <c r="A88" s="116" t="s">
        <v>380</v>
      </c>
      <c r="B88" s="117"/>
      <c r="C88" s="118"/>
    </row>
    <row r="89" spans="1:3" x14ac:dyDescent="0.2">
      <c r="A89" s="116" t="s">
        <v>384</v>
      </c>
      <c r="B89" s="117"/>
      <c r="C89" s="118"/>
    </row>
    <row r="90" spans="1:3" x14ac:dyDescent="0.2">
      <c r="A90" s="109"/>
      <c r="B90" s="109"/>
      <c r="C90" s="109"/>
    </row>
    <row r="91" spans="1:3" x14ac:dyDescent="0.2">
      <c r="A91" s="25"/>
      <c r="B91" s="25"/>
      <c r="C91" s="25"/>
    </row>
    <row r="92" spans="1:3" x14ac:dyDescent="0.2">
      <c r="A92" s="112"/>
      <c r="B92" s="111"/>
      <c r="C92" s="11" t="s">
        <v>100</v>
      </c>
    </row>
    <row r="93" spans="1:3" x14ac:dyDescent="0.2">
      <c r="A93" s="110" t="s">
        <v>339</v>
      </c>
      <c r="B93" s="111"/>
      <c r="C93" s="9">
        <f>62274651.37+0</f>
        <v>62274651.369999997</v>
      </c>
    </row>
    <row r="94" spans="1:3" x14ac:dyDescent="0.2">
      <c r="A94" s="112"/>
      <c r="B94" s="111"/>
      <c r="C94" s="9">
        <v>0</v>
      </c>
    </row>
    <row r="95" spans="1:3" x14ac:dyDescent="0.2">
      <c r="A95" s="112"/>
      <c r="B95" s="111"/>
      <c r="C95" s="9">
        <v>0</v>
      </c>
    </row>
    <row r="96" spans="1:3" x14ac:dyDescent="0.2">
      <c r="A96" s="112" t="s">
        <v>97</v>
      </c>
      <c r="B96" s="111"/>
      <c r="C96" s="27">
        <f>SUM(C93:C95)</f>
        <v>62274651.369999997</v>
      </c>
    </row>
    <row r="97" spans="1:4" x14ac:dyDescent="0.2">
      <c r="A97" s="112" t="s">
        <v>98</v>
      </c>
      <c r="B97" s="111"/>
      <c r="C97" s="27">
        <f>C17+C48+C58+C65</f>
        <v>62274651.370000005</v>
      </c>
      <c r="D97" s="86" t="str">
        <f>IF(C97=C98,"despesa OK","DIFERENÇA")</f>
        <v>despesa OK</v>
      </c>
    </row>
    <row r="98" spans="1:4" x14ac:dyDescent="0.2">
      <c r="B98" s="58" t="s">
        <v>248</v>
      </c>
      <c r="C98" s="56">
        <f>62274651.37</f>
        <v>62274651.369999997</v>
      </c>
      <c r="D98" s="54" t="s">
        <v>292</v>
      </c>
    </row>
    <row r="99" spans="1:4" x14ac:dyDescent="0.2">
      <c r="C99" s="8">
        <f>+C97-C98</f>
        <v>0</v>
      </c>
    </row>
    <row r="100" spans="1:4" x14ac:dyDescent="0.2">
      <c r="A100" s="109" t="s">
        <v>112</v>
      </c>
      <c r="B100" s="109"/>
      <c r="C100" s="109"/>
    </row>
    <row r="101" spans="1:4" x14ac:dyDescent="0.2">
      <c r="A101" s="25"/>
      <c r="B101" s="25"/>
      <c r="C101" s="25"/>
    </row>
    <row r="102" spans="1:4" x14ac:dyDescent="0.2">
      <c r="A102" s="112" t="s">
        <v>341</v>
      </c>
      <c r="B102" s="111"/>
      <c r="C102" s="83">
        <f>446309896.62+305833.57</f>
        <v>446615730.19</v>
      </c>
    </row>
    <row r="103" spans="1:4" x14ac:dyDescent="0.2">
      <c r="A103" s="94" t="s">
        <v>356</v>
      </c>
      <c r="B103" s="95" t="s">
        <v>355</v>
      </c>
      <c r="C103" s="45">
        <f>753480.59</f>
        <v>753480.59</v>
      </c>
    </row>
    <row r="104" spans="1:4" x14ac:dyDescent="0.2">
      <c r="A104" s="112" t="s">
        <v>349</v>
      </c>
      <c r="B104" s="111"/>
      <c r="C104" s="45">
        <v>191872989.50999999</v>
      </c>
    </row>
    <row r="105" spans="1:4" x14ac:dyDescent="0.2">
      <c r="A105" s="112" t="s">
        <v>340</v>
      </c>
      <c r="B105" s="111"/>
      <c r="C105" s="45">
        <f>1197939.38</f>
        <v>1197939.3799999999</v>
      </c>
    </row>
    <row r="106" spans="1:4" x14ac:dyDescent="0.2">
      <c r="A106" s="112" t="s">
        <v>97</v>
      </c>
      <c r="B106" s="111"/>
      <c r="C106" s="27">
        <f>SUM(C102:C105)</f>
        <v>640440139.66999996</v>
      </c>
    </row>
    <row r="107" spans="1:4" x14ac:dyDescent="0.2">
      <c r="A107" s="112" t="s">
        <v>98</v>
      </c>
      <c r="B107" s="111"/>
      <c r="C107" s="55">
        <f>C74+'Anexo I - Fev'!C74+'Anexo I - Mar'!C74+'Anexo I - Abr'!C74+'Anexo I - Mai'!C74+'Anexo I - Jun'!C74+'Anexo I - Jul'!C74+'Anexo I - Ago'!C74+'Anexo I - Set'!C74+'Anexo I - Out'!C74+'Anexo I - Nov'!C74+'Anexo I - Dez'!C74</f>
        <v>640440139.66999996</v>
      </c>
      <c r="D107" s="86" t="str">
        <f>IF(C108=0,"subrepasse OK","DIFERENÇA")</f>
        <v>subrepasse OK</v>
      </c>
    </row>
    <row r="108" spans="1:4" x14ac:dyDescent="0.2">
      <c r="C108" s="56">
        <f>+C106-C107</f>
        <v>0</v>
      </c>
    </row>
    <row r="110" spans="1:4" x14ac:dyDescent="0.2">
      <c r="A110" s="109" t="s">
        <v>218</v>
      </c>
      <c r="B110" s="109"/>
      <c r="C110" s="109"/>
    </row>
    <row r="112" spans="1:4" x14ac:dyDescent="0.2">
      <c r="A112" s="112" t="s">
        <v>167</v>
      </c>
      <c r="B112" s="111"/>
      <c r="C112" s="29">
        <f>'Outras Receitas'!B5+'Outras Receitas'!C5</f>
        <v>0</v>
      </c>
    </row>
    <row r="113" spans="1:3" x14ac:dyDescent="0.2">
      <c r="A113" s="112" t="s">
        <v>98</v>
      </c>
      <c r="B113" s="111"/>
      <c r="C113" s="27">
        <f>C82+'Anexo I - Fev'!C82+'Anexo I - Mar'!C82+'Anexo I - Abr'!C82+'Anexo I - Mai'!C82+'Anexo I - Jun'!C82+'Anexo I - Jul'!C82+'Anexo I - Ago'!C82+'Anexo I - Set'!C82+'Anexo I - Out'!C82+'Anexo I - Nov'!C82+'Anexo I - Dez'!C82</f>
        <v>4669938</v>
      </c>
    </row>
  </sheetData>
  <mergeCells count="35">
    <mergeCell ref="A110:C110"/>
    <mergeCell ref="A112:B112"/>
    <mergeCell ref="A113:B113"/>
    <mergeCell ref="A96:B96"/>
    <mergeCell ref="A106:B106"/>
    <mergeCell ref="A107:B107"/>
    <mergeCell ref="A97:B97"/>
    <mergeCell ref="A100:C100"/>
    <mergeCell ref="A102:B102"/>
    <mergeCell ref="A105:B105"/>
    <mergeCell ref="A104:B104"/>
    <mergeCell ref="A90:C90"/>
    <mergeCell ref="A93:B93"/>
    <mergeCell ref="A94:B94"/>
    <mergeCell ref="A95:B95"/>
    <mergeCell ref="A58:B58"/>
    <mergeCell ref="A65:B65"/>
    <mergeCell ref="A74:B74"/>
    <mergeCell ref="A83:B83"/>
    <mergeCell ref="A84:C84"/>
    <mergeCell ref="A92:B92"/>
    <mergeCell ref="A85:C85"/>
    <mergeCell ref="A86:C86"/>
    <mergeCell ref="A87:C87"/>
    <mergeCell ref="A89:C89"/>
    <mergeCell ref="A88:C88"/>
    <mergeCell ref="A48:B48"/>
    <mergeCell ref="B7:C7"/>
    <mergeCell ref="B8:C8"/>
    <mergeCell ref="A1:C1"/>
    <mergeCell ref="A17:B17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" style="54" bestFit="1" customWidth="1"/>
    <col min="5" max="5" width="14" style="54" bestFit="1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32" t="s">
        <v>221</v>
      </c>
      <c r="C4" s="132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32" t="s">
        <v>222</v>
      </c>
      <c r="C6" s="132"/>
    </row>
    <row r="7" spans="1:3" x14ac:dyDescent="0.2">
      <c r="A7" s="2" t="s">
        <v>36</v>
      </c>
      <c r="B7" s="133" t="s">
        <v>368</v>
      </c>
      <c r="C7" s="134"/>
    </row>
    <row r="8" spans="1:3" x14ac:dyDescent="0.2">
      <c r="A8" s="2" t="s">
        <v>37</v>
      </c>
      <c r="B8" s="124">
        <v>43056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Access'!N2+'Despesa - Access Emag'!N2</f>
        <v>28807193.75</v>
      </c>
    </row>
    <row r="14" spans="1:3" x14ac:dyDescent="0.2">
      <c r="A14" s="2" t="s">
        <v>41</v>
      </c>
      <c r="B14" s="5" t="s">
        <v>2</v>
      </c>
      <c r="C14" s="10">
        <f>'Despesa - Access'!N3+'Despesa - Access Emag'!N3</f>
        <v>8103660.3899999997</v>
      </c>
    </row>
    <row r="15" spans="1:3" x14ac:dyDescent="0.2">
      <c r="A15" s="2" t="s">
        <v>42</v>
      </c>
      <c r="B15" s="5" t="s">
        <v>234</v>
      </c>
      <c r="C15" s="10">
        <f>'Despesa - Access'!N4+'Despesa - Access Emag'!N4</f>
        <v>5205760.87</v>
      </c>
    </row>
    <row r="16" spans="1:3" ht="51" x14ac:dyDescent="0.2">
      <c r="A16" s="6" t="s">
        <v>43</v>
      </c>
      <c r="B16" s="5" t="s">
        <v>242</v>
      </c>
      <c r="C16" s="10"/>
    </row>
    <row r="17" spans="1:3" x14ac:dyDescent="0.2">
      <c r="A17" s="103" t="s">
        <v>71</v>
      </c>
      <c r="B17" s="103"/>
      <c r="C17" s="10">
        <f>SUM(C13:C16)</f>
        <v>42116615.009999998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244</v>
      </c>
    </row>
    <row r="22" spans="1:3" x14ac:dyDescent="0.2">
      <c r="A22" s="2" t="s">
        <v>40</v>
      </c>
      <c r="B22" s="2" t="s">
        <v>3</v>
      </c>
      <c r="C22" s="10">
        <f>'Despesa - Access'!N6+'Despesa - Access Emag'!N6</f>
        <v>112709.81</v>
      </c>
    </row>
    <row r="23" spans="1:3" x14ac:dyDescent="0.2">
      <c r="A23" s="2" t="s">
        <v>41</v>
      </c>
      <c r="B23" s="2" t="s">
        <v>4</v>
      </c>
      <c r="C23" s="10">
        <f>'Despesa - Access'!N7+'Despesa - Access Emag'!N7</f>
        <v>1627444.21</v>
      </c>
    </row>
    <row r="24" spans="1:3" x14ac:dyDescent="0.2">
      <c r="A24" s="2" t="s">
        <v>42</v>
      </c>
      <c r="B24" s="2" t="s">
        <v>5</v>
      </c>
      <c r="C24" s="10">
        <f>'Despesa - Access'!N8+'Despesa - Access Emag'!N8</f>
        <v>184536</v>
      </c>
    </row>
    <row r="25" spans="1:3" x14ac:dyDescent="0.2">
      <c r="A25" s="2" t="s">
        <v>43</v>
      </c>
      <c r="B25" s="2" t="s">
        <v>6</v>
      </c>
      <c r="C25" s="10">
        <f>'Despesa - Access'!N9+'Despesa - Access Emag'!N9</f>
        <v>1030782.4</v>
      </c>
    </row>
    <row r="26" spans="1:3" x14ac:dyDescent="0.2">
      <c r="A26" s="2" t="s">
        <v>45</v>
      </c>
      <c r="B26" s="2" t="s">
        <v>7</v>
      </c>
      <c r="C26" s="10">
        <f>'Despesa - Access'!N10+'Despesa - Access Emag'!N10</f>
        <v>97316.479999999996</v>
      </c>
    </row>
    <row r="27" spans="1:3" x14ac:dyDescent="0.2">
      <c r="A27" s="2" t="s">
        <v>46</v>
      </c>
      <c r="B27" s="2" t="s">
        <v>68</v>
      </c>
      <c r="C27" s="10">
        <f>'Despesa - Access'!N11+'Despesa - Access Emag'!N11</f>
        <v>66382.47</v>
      </c>
    </row>
    <row r="28" spans="1:3" x14ac:dyDescent="0.2">
      <c r="A28" s="2" t="s">
        <v>47</v>
      </c>
      <c r="B28" s="2" t="s">
        <v>8</v>
      </c>
      <c r="C28" s="10">
        <f>'Despesa - Access'!N12+'Despesa - Access Emag'!N12</f>
        <v>199547.43</v>
      </c>
    </row>
    <row r="29" spans="1:3" x14ac:dyDescent="0.2">
      <c r="A29" s="2" t="s">
        <v>48</v>
      </c>
      <c r="B29" s="2" t="s">
        <v>9</v>
      </c>
      <c r="C29" s="10">
        <f>'Despesa - Access'!N13+'Despesa - Access Emag'!N13</f>
        <v>337418</v>
      </c>
    </row>
    <row r="30" spans="1:3" x14ac:dyDescent="0.2">
      <c r="A30" s="2" t="s">
        <v>49</v>
      </c>
      <c r="B30" s="2" t="s">
        <v>10</v>
      </c>
      <c r="C30" s="10">
        <f>'Despesa - Access'!N14+'Despesa - Access Emag'!N14</f>
        <v>89548.26</v>
      </c>
    </row>
    <row r="31" spans="1:3" x14ac:dyDescent="0.2">
      <c r="A31" s="2" t="s">
        <v>50</v>
      </c>
      <c r="B31" s="2" t="s">
        <v>11</v>
      </c>
      <c r="C31" s="10">
        <f>'Despesa - Access'!N15+'Despesa - Access Emag'!N15</f>
        <v>295380.37</v>
      </c>
    </row>
    <row r="32" spans="1:3" x14ac:dyDescent="0.2">
      <c r="A32" s="2" t="s">
        <v>51</v>
      </c>
      <c r="B32" s="2" t="s">
        <v>12</v>
      </c>
      <c r="C32" s="10">
        <f>'Despesa - Access'!N16+'Despesa - Access Emag'!N16</f>
        <v>9253.39</v>
      </c>
    </row>
    <row r="33" spans="1:3" x14ac:dyDescent="0.2">
      <c r="A33" s="2" t="s">
        <v>52</v>
      </c>
      <c r="B33" s="2" t="s">
        <v>13</v>
      </c>
      <c r="C33" s="10">
        <f>'Despesa - Access'!N17+'Despesa - Access Emag'!N17</f>
        <v>179663.01</v>
      </c>
    </row>
    <row r="34" spans="1:3" ht="63.75" x14ac:dyDescent="0.2">
      <c r="A34" s="6" t="s">
        <v>53</v>
      </c>
      <c r="B34" s="7" t="s">
        <v>246</v>
      </c>
      <c r="C34" s="10">
        <f>'Despesa - Access'!N18+'Despesa - Access Emag'!N18</f>
        <v>317990.90000000002</v>
      </c>
    </row>
    <row r="35" spans="1:3" x14ac:dyDescent="0.2">
      <c r="A35" s="2" t="s">
        <v>54</v>
      </c>
      <c r="B35" s="2" t="s">
        <v>14</v>
      </c>
      <c r="C35" s="10">
        <f>'Despesa - Access'!N19+'Despesa - Access Emag'!N19</f>
        <v>424989.86</v>
      </c>
    </row>
    <row r="36" spans="1:3" x14ac:dyDescent="0.2">
      <c r="A36" s="2" t="s">
        <v>55</v>
      </c>
      <c r="B36" s="2" t="s">
        <v>236</v>
      </c>
      <c r="C36" s="10">
        <f>'Despesa - Access'!N20+'Despesa - Access Emag'!N20</f>
        <v>206110.35</v>
      </c>
    </row>
    <row r="37" spans="1:3" x14ac:dyDescent="0.2">
      <c r="A37" s="2" t="s">
        <v>56</v>
      </c>
      <c r="B37" s="2" t="s">
        <v>15</v>
      </c>
      <c r="C37" s="10">
        <f>'Despesa - Access'!N21+'Despesa - Access Emag'!N21</f>
        <v>8739.9599999999991</v>
      </c>
    </row>
    <row r="38" spans="1:3" ht="25.5" x14ac:dyDescent="0.2">
      <c r="A38" s="6" t="s">
        <v>57</v>
      </c>
      <c r="B38" s="26" t="s">
        <v>69</v>
      </c>
      <c r="C38" s="10">
        <f>'Despesa - Access'!N22+'Despesa - Access Emag'!N22</f>
        <v>726911.92</v>
      </c>
    </row>
    <row r="39" spans="1:3" x14ac:dyDescent="0.2">
      <c r="A39" s="2" t="s">
        <v>58</v>
      </c>
      <c r="B39" s="2" t="s">
        <v>16</v>
      </c>
      <c r="C39" s="10">
        <f>'Despesa - Access'!N23+'Despesa - Access Emag'!N23</f>
        <v>365349.43</v>
      </c>
    </row>
    <row r="40" spans="1:3" x14ac:dyDescent="0.2">
      <c r="A40" s="2" t="s">
        <v>59</v>
      </c>
      <c r="B40" s="2" t="s">
        <v>17</v>
      </c>
      <c r="C40" s="10">
        <f>'Despesa - Access'!N24+'Despesa - Access Emag'!N24</f>
        <v>380.05</v>
      </c>
    </row>
    <row r="41" spans="1:3" x14ac:dyDescent="0.2">
      <c r="A41" s="2" t="s">
        <v>60</v>
      </c>
      <c r="B41" s="2" t="s">
        <v>18</v>
      </c>
      <c r="C41" s="10">
        <f>'Despesa - Access'!N25+'Despesa - Access Emag'!N25</f>
        <v>461.5</v>
      </c>
    </row>
    <row r="42" spans="1:3" x14ac:dyDescent="0.2">
      <c r="A42" s="2" t="s">
        <v>61</v>
      </c>
      <c r="B42" s="2" t="s">
        <v>19</v>
      </c>
      <c r="C42" s="10">
        <f>'Despesa - Access'!N26+'Despesa - Access Emag'!N26</f>
        <v>8926.4</v>
      </c>
    </row>
    <row r="43" spans="1:3" x14ac:dyDescent="0.2">
      <c r="A43" s="2" t="s">
        <v>62</v>
      </c>
      <c r="B43" s="2" t="s">
        <v>20</v>
      </c>
      <c r="C43" s="10">
        <f>'Despesa - Access'!N27+'Despesa - Access Emag'!N27</f>
        <v>13872.27</v>
      </c>
    </row>
    <row r="44" spans="1:3" x14ac:dyDescent="0.2">
      <c r="A44" s="2" t="s">
        <v>63</v>
      </c>
      <c r="B44" s="2" t="s">
        <v>21</v>
      </c>
      <c r="C44" s="10">
        <f>'Despesa - Access'!N28+'Despesa - Access Emag'!N28</f>
        <v>23313</v>
      </c>
    </row>
    <row r="45" spans="1:3" x14ac:dyDescent="0.2">
      <c r="A45" s="2" t="s">
        <v>64</v>
      </c>
      <c r="B45" s="2" t="s">
        <v>70</v>
      </c>
      <c r="C45" s="10">
        <f>'Despesa - Access'!N29+'Despesa - Access Emag'!N29</f>
        <v>35134.68</v>
      </c>
    </row>
    <row r="46" spans="1:3" x14ac:dyDescent="0.2">
      <c r="A46" s="2" t="s">
        <v>65</v>
      </c>
      <c r="B46" s="2" t="s">
        <v>22</v>
      </c>
      <c r="C46" s="10">
        <f>'Despesa - Access'!N30+'Despesa - Access Emag'!N30</f>
        <v>0</v>
      </c>
    </row>
    <row r="47" spans="1:3" x14ac:dyDescent="0.2">
      <c r="A47" s="2" t="s">
        <v>66</v>
      </c>
      <c r="B47" s="2" t="s">
        <v>23</v>
      </c>
      <c r="C47" s="10">
        <f>'Despesa - Access'!N31+'Despesa - Access Emag'!N31</f>
        <v>917443.89</v>
      </c>
    </row>
    <row r="48" spans="1:3" x14ac:dyDescent="0.2">
      <c r="A48" s="103" t="s">
        <v>71</v>
      </c>
      <c r="B48" s="103"/>
      <c r="C48" s="10">
        <f>SUM(C22:C47)</f>
        <v>7279606.0399999991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10">
        <f>'Despesa - Access'!N32+'Despesa - Access Emag'!N32</f>
        <v>0</v>
      </c>
    </row>
    <row r="54" spans="1:3" x14ac:dyDescent="0.2">
      <c r="A54" s="2" t="s">
        <v>41</v>
      </c>
      <c r="B54" s="2" t="s">
        <v>26</v>
      </c>
      <c r="C54" s="10">
        <f>'Despesa - Access'!N33+'Despesa - Access Emag'!N33</f>
        <v>0</v>
      </c>
    </row>
    <row r="55" spans="1:3" x14ac:dyDescent="0.2">
      <c r="A55" s="2" t="s">
        <v>42</v>
      </c>
      <c r="B55" s="2" t="s">
        <v>67</v>
      </c>
      <c r="C55" s="10">
        <f>'Despesa - Access'!N34+'Despesa - Access Emag'!N34</f>
        <v>0</v>
      </c>
    </row>
    <row r="56" spans="1:3" x14ac:dyDescent="0.2">
      <c r="A56" s="2" t="s">
        <v>43</v>
      </c>
      <c r="B56" s="2" t="s">
        <v>27</v>
      </c>
      <c r="C56" s="10">
        <f>'Despesa - Access'!N35+'Despesa - Access Emag'!N35</f>
        <v>0</v>
      </c>
    </row>
    <row r="57" spans="1:3" x14ac:dyDescent="0.2">
      <c r="A57" s="2" t="s">
        <v>45</v>
      </c>
      <c r="B57" s="2" t="s">
        <v>28</v>
      </c>
      <c r="C57" s="10">
        <f>'Despesa - Access'!N36+'Despesa - Access Emag'!N36</f>
        <v>1202.55</v>
      </c>
    </row>
    <row r="58" spans="1:3" x14ac:dyDescent="0.2">
      <c r="A58" s="103" t="s">
        <v>71</v>
      </c>
      <c r="B58" s="103"/>
      <c r="C58" s="10">
        <f>SUM(C53:C57)</f>
        <v>1202.55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244</v>
      </c>
    </row>
    <row r="63" spans="1:3" x14ac:dyDescent="0.2">
      <c r="A63" s="2" t="s">
        <v>40</v>
      </c>
      <c r="B63" s="2" t="s">
        <v>30</v>
      </c>
      <c r="C63" s="10">
        <f>'Despesa - Access'!N37+'Despesa - Access Emag'!N37</f>
        <v>0</v>
      </c>
    </row>
    <row r="64" spans="1:3" x14ac:dyDescent="0.2">
      <c r="A64" s="2" t="s">
        <v>41</v>
      </c>
      <c r="B64" s="2" t="s">
        <v>31</v>
      </c>
      <c r="C64" s="10">
        <f>'Despesa - Access'!N38+'Despesa - Access Emag'!N38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Access'!N2+'Financeiro - Access Emag'!N2</f>
        <v>40846737.210000001</v>
      </c>
    </row>
    <row r="71" spans="1:3" x14ac:dyDescent="0.2">
      <c r="A71" s="2" t="s">
        <v>41</v>
      </c>
      <c r="B71" s="2" t="s">
        <v>76</v>
      </c>
      <c r="C71" s="9">
        <f>'Financeiro - Access'!N3+'Financeiro - Access Emag'!N3</f>
        <v>8595201.5899999999</v>
      </c>
    </row>
    <row r="72" spans="1:3" x14ac:dyDescent="0.2">
      <c r="A72" s="2" t="s">
        <v>42</v>
      </c>
      <c r="B72" s="2" t="s">
        <v>215</v>
      </c>
      <c r="C72" s="9">
        <f>'Financeiro - Access'!N4+'Financeiro - Access Emag'!N4</f>
        <v>387073.86</v>
      </c>
    </row>
    <row r="73" spans="1:3" x14ac:dyDescent="0.2">
      <c r="A73" s="2" t="s">
        <v>43</v>
      </c>
      <c r="B73" s="2" t="s">
        <v>238</v>
      </c>
      <c r="C73" s="9">
        <f>'Financeiro - Access'!N5+'Financeiro - Access Emag'!N5</f>
        <v>0</v>
      </c>
    </row>
    <row r="74" spans="1:3" x14ac:dyDescent="0.2">
      <c r="A74" s="103" t="s">
        <v>71</v>
      </c>
      <c r="B74" s="103"/>
      <c r="C74" s="10">
        <f>SUM(C70:C73)</f>
        <v>49829012.659999996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3" x14ac:dyDescent="0.2">
      <c r="A81" s="2" t="s">
        <v>42</v>
      </c>
      <c r="B81" s="2" t="s">
        <v>241</v>
      </c>
      <c r="C81" s="9"/>
    </row>
    <row r="82" spans="1:3" x14ac:dyDescent="0.2">
      <c r="A82" s="2" t="s">
        <v>43</v>
      </c>
      <c r="B82" s="2" t="s">
        <v>77</v>
      </c>
      <c r="C82" s="9">
        <f>157660+3440573</f>
        <v>3598233</v>
      </c>
    </row>
    <row r="83" spans="1:3" x14ac:dyDescent="0.2">
      <c r="A83" s="103" t="s">
        <v>71</v>
      </c>
      <c r="B83" s="103"/>
      <c r="C83" s="10">
        <f>SUM(C79:C82)</f>
        <v>3598233</v>
      </c>
    </row>
    <row r="84" spans="1:3" x14ac:dyDescent="0.2">
      <c r="A84" s="135" t="s">
        <v>293</v>
      </c>
      <c r="B84" s="119"/>
      <c r="C84" s="136"/>
    </row>
    <row r="85" spans="1:3" x14ac:dyDescent="0.2">
      <c r="A85" s="119" t="s">
        <v>382</v>
      </c>
      <c r="B85" s="119"/>
      <c r="C85" s="119"/>
    </row>
  </sheetData>
  <mergeCells count="15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5:C85"/>
    <mergeCell ref="B6:C6"/>
    <mergeCell ref="B7:C7"/>
    <mergeCell ref="B8:C8"/>
    <mergeCell ref="A17:B17"/>
    <mergeCell ref="A84:C8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64" zoomScale="115" zoomScaleNormal="100" zoomScaleSheetLayoutView="115" workbookViewId="0">
      <selection activeCell="I90" sqref="I90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32" t="s">
        <v>221</v>
      </c>
      <c r="C4" s="132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32" t="s">
        <v>222</v>
      </c>
      <c r="C6" s="132"/>
    </row>
    <row r="7" spans="1:3" x14ac:dyDescent="0.2">
      <c r="A7" s="2" t="s">
        <v>36</v>
      </c>
      <c r="B7" s="133" t="s">
        <v>370</v>
      </c>
      <c r="C7" s="134"/>
    </row>
    <row r="8" spans="1:3" x14ac:dyDescent="0.2">
      <c r="A8" s="2" t="s">
        <v>37</v>
      </c>
      <c r="B8" s="124">
        <v>43089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Access'!O2+'Despesa - Access Emag'!O2</f>
        <v>45947925.210000001</v>
      </c>
    </row>
    <row r="14" spans="1:3" x14ac:dyDescent="0.2">
      <c r="A14" s="2" t="s">
        <v>41</v>
      </c>
      <c r="B14" s="5" t="s">
        <v>2</v>
      </c>
      <c r="C14" s="10">
        <f>'Despesa - Access'!O3+'Despesa - Access Emag'!O3</f>
        <v>12447207.380000001</v>
      </c>
    </row>
    <row r="15" spans="1:3" x14ac:dyDescent="0.2">
      <c r="A15" s="2" t="s">
        <v>42</v>
      </c>
      <c r="B15" s="5" t="s">
        <v>234</v>
      </c>
      <c r="C15" s="10">
        <f>'Despesa - Access'!O4+'Despesa - Access Emag'!O4</f>
        <v>10838658.029999999</v>
      </c>
    </row>
    <row r="16" spans="1:3" ht="51" x14ac:dyDescent="0.2">
      <c r="A16" s="6" t="s">
        <v>43</v>
      </c>
      <c r="B16" s="5" t="s">
        <v>242</v>
      </c>
      <c r="C16" s="10"/>
    </row>
    <row r="17" spans="1:5" x14ac:dyDescent="0.2">
      <c r="A17" s="103" t="s">
        <v>71</v>
      </c>
      <c r="B17" s="103"/>
      <c r="C17" s="10">
        <f>SUM(C13:C16)</f>
        <v>69233790.620000005</v>
      </c>
      <c r="D17" s="54">
        <v>69233790.620000005</v>
      </c>
      <c r="E17" s="54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Access'!O6+'Despesa - Access Emag'!O6</f>
        <v>116720.42</v>
      </c>
    </row>
    <row r="23" spans="1:5" x14ac:dyDescent="0.2">
      <c r="A23" s="2" t="s">
        <v>41</v>
      </c>
      <c r="B23" s="2" t="s">
        <v>4</v>
      </c>
      <c r="C23" s="10">
        <f>'Despesa - Access'!O7+'Despesa - Access Emag'!O7</f>
        <v>1613946.92</v>
      </c>
    </row>
    <row r="24" spans="1:5" x14ac:dyDescent="0.2">
      <c r="A24" s="2" t="s">
        <v>42</v>
      </c>
      <c r="B24" s="2" t="s">
        <v>5</v>
      </c>
      <c r="C24" s="10">
        <f>'Despesa - Access'!O8+'Despesa - Access Emag'!O8</f>
        <v>185934</v>
      </c>
    </row>
    <row r="25" spans="1:5" x14ac:dyDescent="0.2">
      <c r="A25" s="2" t="s">
        <v>43</v>
      </c>
      <c r="B25" s="2" t="s">
        <v>6</v>
      </c>
      <c r="C25" s="10">
        <f>'Despesa - Access'!O9+'Despesa - Access Emag'!O9</f>
        <v>1038827.1</v>
      </c>
    </row>
    <row r="26" spans="1:5" x14ac:dyDescent="0.2">
      <c r="A26" s="2" t="s">
        <v>45</v>
      </c>
      <c r="B26" s="2" t="s">
        <v>7</v>
      </c>
      <c r="C26" s="10">
        <f>'Despesa - Access'!O10+'Despesa - Access Emag'!O10</f>
        <v>280302.65000000002</v>
      </c>
    </row>
    <row r="27" spans="1:5" x14ac:dyDescent="0.2">
      <c r="A27" s="2" t="s">
        <v>46</v>
      </c>
      <c r="B27" s="2" t="s">
        <v>68</v>
      </c>
      <c r="C27" s="10">
        <f>'Despesa - Access'!O11+'Despesa - Access Emag'!O11</f>
        <v>89886.400000000009</v>
      </c>
    </row>
    <row r="28" spans="1:5" x14ac:dyDescent="0.2">
      <c r="A28" s="2" t="s">
        <v>47</v>
      </c>
      <c r="B28" s="2" t="s">
        <v>8</v>
      </c>
      <c r="C28" s="10">
        <f>'Despesa - Access'!O12+'Despesa - Access Emag'!O12</f>
        <v>199843.24</v>
      </c>
    </row>
    <row r="29" spans="1:5" x14ac:dyDescent="0.2">
      <c r="A29" s="2" t="s">
        <v>48</v>
      </c>
      <c r="B29" s="2" t="s">
        <v>9</v>
      </c>
      <c r="C29" s="10">
        <f>'Despesa - Access'!O13+'Despesa - Access Emag'!O13</f>
        <v>337418</v>
      </c>
    </row>
    <row r="30" spans="1:5" x14ac:dyDescent="0.2">
      <c r="A30" s="2" t="s">
        <v>49</v>
      </c>
      <c r="B30" s="2" t="s">
        <v>10</v>
      </c>
      <c r="C30" s="10">
        <f>'Despesa - Access'!O14+'Despesa - Access Emag'!O14</f>
        <v>90351.42</v>
      </c>
    </row>
    <row r="31" spans="1:5" x14ac:dyDescent="0.2">
      <c r="A31" s="2" t="s">
        <v>50</v>
      </c>
      <c r="B31" s="2" t="s">
        <v>11</v>
      </c>
      <c r="C31" s="10">
        <f>'Despesa - Access'!O15+'Despesa - Access Emag'!O15</f>
        <v>291351.96000000002</v>
      </c>
    </row>
    <row r="32" spans="1:5" x14ac:dyDescent="0.2">
      <c r="A32" s="2" t="s">
        <v>51</v>
      </c>
      <c r="B32" s="2" t="s">
        <v>12</v>
      </c>
      <c r="C32" s="10">
        <f>'Despesa - Access'!O16+'Despesa - Access Emag'!O16</f>
        <v>23221.71</v>
      </c>
    </row>
    <row r="33" spans="1:5" x14ac:dyDescent="0.2">
      <c r="A33" s="2" t="s">
        <v>52</v>
      </c>
      <c r="B33" s="2" t="s">
        <v>13</v>
      </c>
      <c r="C33" s="10">
        <f>'Despesa - Access'!O17+'Despesa - Access Emag'!O17</f>
        <v>185464.95999999999</v>
      </c>
    </row>
    <row r="34" spans="1:5" ht="63.75" x14ac:dyDescent="0.2">
      <c r="A34" s="6" t="s">
        <v>53</v>
      </c>
      <c r="B34" s="7" t="s">
        <v>246</v>
      </c>
      <c r="C34" s="10">
        <f>'Despesa - Access'!O18+'Despesa - Access Emag'!O18</f>
        <v>142113.15</v>
      </c>
    </row>
    <row r="35" spans="1:5" x14ac:dyDescent="0.2">
      <c r="A35" s="2" t="s">
        <v>54</v>
      </c>
      <c r="B35" s="2" t="s">
        <v>14</v>
      </c>
      <c r="C35" s="10">
        <f>'Despesa - Access'!O19+'Despesa - Access Emag'!O19</f>
        <v>421154.61</v>
      </c>
    </row>
    <row r="36" spans="1:5" x14ac:dyDescent="0.2">
      <c r="A36" s="2" t="s">
        <v>55</v>
      </c>
      <c r="B36" s="2" t="s">
        <v>236</v>
      </c>
      <c r="C36" s="10">
        <f>'Despesa - Access'!O20+'Despesa - Access Emag'!O20</f>
        <v>205905.9</v>
      </c>
    </row>
    <row r="37" spans="1:5" x14ac:dyDescent="0.2">
      <c r="A37" s="2" t="s">
        <v>56</v>
      </c>
      <c r="B37" s="2" t="s">
        <v>15</v>
      </c>
      <c r="C37" s="10">
        <f>'Despesa - Access'!O21+'Despesa - Access Emag'!O21</f>
        <v>7161.44</v>
      </c>
    </row>
    <row r="38" spans="1:5" ht="25.5" x14ac:dyDescent="0.2">
      <c r="A38" s="6" t="s">
        <v>57</v>
      </c>
      <c r="B38" s="26" t="s">
        <v>69</v>
      </c>
      <c r="C38" s="10">
        <f>'Despesa - Access'!O22+'Despesa - Access Emag'!O22</f>
        <v>698914.37</v>
      </c>
    </row>
    <row r="39" spans="1:5" x14ac:dyDescent="0.2">
      <c r="A39" s="2" t="s">
        <v>58</v>
      </c>
      <c r="B39" s="2" t="s">
        <v>16</v>
      </c>
      <c r="C39" s="10">
        <f>'Despesa - Access'!O23+'Despesa - Access Emag'!O23</f>
        <v>238368.33000000002</v>
      </c>
    </row>
    <row r="40" spans="1:5" x14ac:dyDescent="0.2">
      <c r="A40" s="2" t="s">
        <v>59</v>
      </c>
      <c r="B40" s="2" t="s">
        <v>17</v>
      </c>
      <c r="C40" s="10">
        <f>'Despesa - Access'!O24+'Despesa - Access Emag'!O24</f>
        <v>12765.19</v>
      </c>
    </row>
    <row r="41" spans="1:5" x14ac:dyDescent="0.2">
      <c r="A41" s="2" t="s">
        <v>60</v>
      </c>
      <c r="B41" s="2" t="s">
        <v>18</v>
      </c>
      <c r="C41" s="10">
        <f>'Despesa - Access'!O25+'Despesa - Access Emag'!O25</f>
        <v>0</v>
      </c>
    </row>
    <row r="42" spans="1:5" x14ac:dyDescent="0.2">
      <c r="A42" s="2" t="s">
        <v>61</v>
      </c>
      <c r="B42" s="2" t="s">
        <v>19</v>
      </c>
      <c r="C42" s="10">
        <f>'Despesa - Access'!O26+'Despesa - Access Emag'!O26</f>
        <v>0</v>
      </c>
    </row>
    <row r="43" spans="1:5" x14ac:dyDescent="0.2">
      <c r="A43" s="2" t="s">
        <v>62</v>
      </c>
      <c r="B43" s="2" t="s">
        <v>20</v>
      </c>
      <c r="C43" s="10">
        <f>'Despesa - Access'!O27+'Despesa - Access Emag'!O27</f>
        <v>16889.650000000001</v>
      </c>
    </row>
    <row r="44" spans="1:5" x14ac:dyDescent="0.2">
      <c r="A44" s="2" t="s">
        <v>63</v>
      </c>
      <c r="B44" s="2" t="s">
        <v>21</v>
      </c>
      <c r="C44" s="10">
        <f>'Despesa - Access'!O28+'Despesa - Access Emag'!O28</f>
        <v>33781.199999999997</v>
      </c>
    </row>
    <row r="45" spans="1:5" x14ac:dyDescent="0.2">
      <c r="A45" s="2" t="s">
        <v>64</v>
      </c>
      <c r="B45" s="2" t="s">
        <v>70</v>
      </c>
      <c r="C45" s="10">
        <f>'Despesa - Access'!O29+'Despesa - Access Emag'!O29</f>
        <v>6481.63</v>
      </c>
    </row>
    <row r="46" spans="1:5" x14ac:dyDescent="0.2">
      <c r="A46" s="2" t="s">
        <v>65</v>
      </c>
      <c r="B46" s="2" t="s">
        <v>22</v>
      </c>
      <c r="C46" s="10">
        <f>'Despesa - Access'!O30+'Despesa - Access Emag'!O30</f>
        <v>0</v>
      </c>
    </row>
    <row r="47" spans="1:5" x14ac:dyDescent="0.2">
      <c r="A47" s="2" t="s">
        <v>66</v>
      </c>
      <c r="B47" s="2" t="s">
        <v>23</v>
      </c>
      <c r="C47" s="10">
        <f>'Despesa - Access'!O31+'Despesa - Access Emag'!O31</f>
        <v>889307.63</v>
      </c>
    </row>
    <row r="48" spans="1:5" x14ac:dyDescent="0.2">
      <c r="A48" s="103" t="s">
        <v>71</v>
      </c>
      <c r="B48" s="103"/>
      <c r="C48" s="10">
        <f>SUM(C22:C47)</f>
        <v>7126111.8800000018</v>
      </c>
      <c r="D48" s="54">
        <f>7054785.97+71325.91</f>
        <v>7126111.8799999999</v>
      </c>
      <c r="E48" s="54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Access'!O32+'Despesa - Access Emag'!O32</f>
        <v>0</v>
      </c>
    </row>
    <row r="54" spans="1:5" x14ac:dyDescent="0.2">
      <c r="A54" s="2" t="s">
        <v>41</v>
      </c>
      <c r="B54" s="2" t="s">
        <v>26</v>
      </c>
      <c r="C54" s="10">
        <f>'Despesa - Access'!O33+'Despesa - Access Emag'!O33</f>
        <v>0</v>
      </c>
    </row>
    <row r="55" spans="1:5" x14ac:dyDescent="0.2">
      <c r="A55" s="2" t="s">
        <v>42</v>
      </c>
      <c r="B55" s="2" t="s">
        <v>67</v>
      </c>
      <c r="C55" s="10">
        <f>'Despesa - Access'!O34+'Despesa - Access Emag'!O34</f>
        <v>0</v>
      </c>
    </row>
    <row r="56" spans="1:5" x14ac:dyDescent="0.2">
      <c r="A56" s="2" t="s">
        <v>43</v>
      </c>
      <c r="B56" s="2" t="s">
        <v>27</v>
      </c>
      <c r="C56" s="10">
        <f>'Despesa - Access'!O35+'Despesa - Access Emag'!O35</f>
        <v>0</v>
      </c>
    </row>
    <row r="57" spans="1:5" x14ac:dyDescent="0.2">
      <c r="A57" s="2" t="s">
        <v>45</v>
      </c>
      <c r="B57" s="2" t="s">
        <v>28</v>
      </c>
      <c r="C57" s="10">
        <f>'Despesa - Access'!O36+'Despesa - Access Emag'!O36</f>
        <v>0</v>
      </c>
    </row>
    <row r="58" spans="1:5" x14ac:dyDescent="0.2">
      <c r="A58" s="103" t="s">
        <v>71</v>
      </c>
      <c r="B58" s="103"/>
      <c r="C58" s="10">
        <f>SUM(C53:C57)</f>
        <v>0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Access'!O37+'Despesa - Access Emag'!O37</f>
        <v>0</v>
      </c>
    </row>
    <row r="64" spans="1:5" x14ac:dyDescent="0.2">
      <c r="A64" s="2" t="s">
        <v>41</v>
      </c>
      <c r="B64" s="2" t="s">
        <v>31</v>
      </c>
      <c r="C64" s="10">
        <f>'Despesa - Access'!O38+'Despesa - Access Emag'!O38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Access'!O2+'Financeiro - Access Emag'!O2</f>
        <v>69243565.140000001</v>
      </c>
    </row>
    <row r="71" spans="1:3" x14ac:dyDescent="0.2">
      <c r="A71" s="2" t="s">
        <v>41</v>
      </c>
      <c r="B71" s="2" t="s">
        <v>76</v>
      </c>
      <c r="C71" s="9">
        <f>'Financeiro - Access'!O3+'Financeiro - Access Emag'!O3</f>
        <v>6470223.0899999999</v>
      </c>
    </row>
    <row r="72" spans="1:3" x14ac:dyDescent="0.2">
      <c r="A72" s="2" t="s">
        <v>42</v>
      </c>
      <c r="B72" s="2" t="s">
        <v>215</v>
      </c>
      <c r="C72" s="9">
        <f>'Financeiro - Access'!O4+'Financeiro - Access Emag'!O4</f>
        <v>100000</v>
      </c>
    </row>
    <row r="73" spans="1:3" x14ac:dyDescent="0.2">
      <c r="A73" s="2" t="s">
        <v>43</v>
      </c>
      <c r="B73" s="2" t="s">
        <v>238</v>
      </c>
      <c r="C73" s="9">
        <f>'Financeiro - Access'!O5+'Financeiro - Access Emag'!O5</f>
        <v>0</v>
      </c>
    </row>
    <row r="74" spans="1:3" x14ac:dyDescent="0.2">
      <c r="A74" s="103" t="s">
        <v>71</v>
      </c>
      <c r="B74" s="103"/>
      <c r="C74" s="10">
        <f>SUM(C70:C73)</f>
        <v>75813788.230000004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37" t="s">
        <v>293</v>
      </c>
      <c r="B84" s="114"/>
      <c r="C84" s="114"/>
    </row>
    <row r="85" spans="1:5" x14ac:dyDescent="0.2">
      <c r="A85" s="113" t="s">
        <v>352</v>
      </c>
      <c r="B85" s="114"/>
      <c r="C85" s="114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87"/>
      <c r="B89" s="87"/>
      <c r="C89" s="87"/>
    </row>
    <row r="90" spans="1:5" x14ac:dyDescent="0.2">
      <c r="C90" s="11" t="s">
        <v>110</v>
      </c>
      <c r="D90" s="71" t="s">
        <v>109</v>
      </c>
      <c r="E90" s="71" t="s">
        <v>71</v>
      </c>
    </row>
    <row r="91" spans="1:5" x14ac:dyDescent="0.2">
      <c r="A91" s="112"/>
      <c r="B91" s="111"/>
      <c r="C91" s="9">
        <v>0</v>
      </c>
      <c r="D91" s="45">
        <f>'Anexo I - Mai'!C91</f>
        <v>0</v>
      </c>
      <c r="E91" s="45">
        <f>C91-D91</f>
        <v>0</v>
      </c>
    </row>
    <row r="92" spans="1:5" x14ac:dyDescent="0.2">
      <c r="A92" s="112" t="s">
        <v>343</v>
      </c>
      <c r="B92" s="111"/>
      <c r="C92" s="9">
        <v>574892403.10000002</v>
      </c>
      <c r="D92" s="45" t="e">
        <f>'Anexo I - Out'!#REF!</f>
        <v>#REF!</v>
      </c>
      <c r="E92" s="45" t="e">
        <f>C92-D92</f>
        <v>#REF!</v>
      </c>
    </row>
    <row r="93" spans="1:5" x14ac:dyDescent="0.2">
      <c r="A93" s="112" t="s">
        <v>344</v>
      </c>
      <c r="B93" s="111"/>
      <c r="C93" s="9">
        <v>188914.82</v>
      </c>
      <c r="D93" s="45" t="e">
        <f>'Anexo I - Out'!#REF!</f>
        <v>#REF!</v>
      </c>
      <c r="E93" s="45" t="e">
        <f>C93-D93</f>
        <v>#REF!</v>
      </c>
    </row>
    <row r="94" spans="1:5" x14ac:dyDescent="0.2">
      <c r="A94" s="112" t="s">
        <v>97</v>
      </c>
      <c r="B94" s="120"/>
      <c r="C94" s="120"/>
      <c r="D94" s="111"/>
      <c r="E94" s="84" t="e">
        <f>SUM(E91:E93)</f>
        <v>#REF!</v>
      </c>
    </row>
    <row r="95" spans="1:5" x14ac:dyDescent="0.2">
      <c r="A95" s="112" t="s">
        <v>98</v>
      </c>
      <c r="B95" s="120"/>
      <c r="C95" s="120"/>
      <c r="D95" s="111"/>
      <c r="E95" s="84">
        <f>C17+C48+C58+C65</f>
        <v>76359902.5</v>
      </c>
    </row>
    <row r="97" spans="4:6" x14ac:dyDescent="0.2">
      <c r="D97" s="72" t="s">
        <v>337</v>
      </c>
      <c r="E97" s="85">
        <f>69233790.62+7054785.97+71325.91</f>
        <v>76359902.5</v>
      </c>
    </row>
    <row r="98" spans="4:6" x14ac:dyDescent="0.2">
      <c r="E98" s="86" t="str">
        <f>IF(E95=E97,"Despesa Ok","Diferença")</f>
        <v>Despesa Ok</v>
      </c>
      <c r="F98" s="8"/>
    </row>
    <row r="99" spans="4:6" x14ac:dyDescent="0.2">
      <c r="E99" s="54">
        <f>E95-E97</f>
        <v>0</v>
      </c>
      <c r="F99" s="60" t="s">
        <v>338</v>
      </c>
    </row>
    <row r="101" spans="4:6" x14ac:dyDescent="0.2">
      <c r="E101" s="54" t="s">
        <v>249</v>
      </c>
    </row>
  </sheetData>
  <mergeCells count="21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5:C85"/>
    <mergeCell ref="B6:C6"/>
    <mergeCell ref="B7:C7"/>
    <mergeCell ref="B8:C8"/>
    <mergeCell ref="A17:B17"/>
    <mergeCell ref="A84:C84"/>
    <mergeCell ref="A95:D95"/>
    <mergeCell ref="A88:E88"/>
    <mergeCell ref="A91:B91"/>
    <mergeCell ref="A92:B92"/>
    <mergeCell ref="A93:B93"/>
    <mergeCell ref="A94:D9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showGridLines="0" view="pageBreakPreview" topLeftCell="A26" zoomScale="130" zoomScaleNormal="90" zoomScaleSheetLayoutView="130" workbookViewId="0">
      <selection activeCell="I90" sqref="I90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140625" style="54" customWidth="1"/>
    <col min="6" max="6" width="16.42578125" customWidth="1"/>
    <col min="7" max="7" width="19" customWidth="1"/>
    <col min="8" max="8" width="11.7109375" bestFit="1" customWidth="1"/>
  </cols>
  <sheetData>
    <row r="1" spans="1:7" x14ac:dyDescent="0.2">
      <c r="A1" s="108" t="s">
        <v>223</v>
      </c>
      <c r="B1" s="108"/>
      <c r="C1" s="108"/>
    </row>
    <row r="3" spans="1:7" x14ac:dyDescent="0.2">
      <c r="A3" s="2" t="s">
        <v>32</v>
      </c>
      <c r="B3" s="107" t="s">
        <v>227</v>
      </c>
      <c r="C3" s="107"/>
    </row>
    <row r="4" spans="1:7" x14ac:dyDescent="0.2">
      <c r="A4" s="2" t="s">
        <v>33</v>
      </c>
      <c r="B4" s="132" t="s">
        <v>221</v>
      </c>
      <c r="C4" s="132"/>
    </row>
    <row r="5" spans="1:7" x14ac:dyDescent="0.2">
      <c r="A5" s="2" t="s">
        <v>34</v>
      </c>
      <c r="B5" s="107" t="s">
        <v>347</v>
      </c>
      <c r="C5" s="107"/>
    </row>
    <row r="6" spans="1:7" x14ac:dyDescent="0.2">
      <c r="A6" s="2" t="s">
        <v>35</v>
      </c>
      <c r="B6" s="132" t="s">
        <v>222</v>
      </c>
      <c r="C6" s="132"/>
    </row>
    <row r="7" spans="1:7" x14ac:dyDescent="0.2">
      <c r="A7" s="2" t="s">
        <v>36</v>
      </c>
      <c r="B7" s="133" t="s">
        <v>350</v>
      </c>
      <c r="C7" s="134"/>
    </row>
    <row r="8" spans="1:7" x14ac:dyDescent="0.2">
      <c r="A8" s="2" t="s">
        <v>37</v>
      </c>
      <c r="B8" s="124">
        <v>42755</v>
      </c>
      <c r="C8" s="111"/>
    </row>
    <row r="10" spans="1:7" x14ac:dyDescent="0.2">
      <c r="A10" s="4" t="s">
        <v>225</v>
      </c>
    </row>
    <row r="12" spans="1:7" x14ac:dyDescent="0.2">
      <c r="A12" s="3" t="s">
        <v>38</v>
      </c>
      <c r="B12" s="3" t="s">
        <v>39</v>
      </c>
      <c r="C12" s="11" t="s">
        <v>244</v>
      </c>
    </row>
    <row r="13" spans="1:7" x14ac:dyDescent="0.2">
      <c r="A13" s="2" t="s">
        <v>40</v>
      </c>
      <c r="B13" s="5" t="s">
        <v>1</v>
      </c>
      <c r="C13" s="10">
        <f>'Despesa - Access'!P2+'Despesa - Access Emag'!P2</f>
        <v>23408716.969999999</v>
      </c>
    </row>
    <row r="14" spans="1:7" x14ac:dyDescent="0.2">
      <c r="A14" s="2" t="s">
        <v>41</v>
      </c>
      <c r="B14" s="5" t="s">
        <v>2</v>
      </c>
      <c r="C14" s="10">
        <f>'Despesa - Access'!P3+'Despesa - Access Emag'!P3</f>
        <v>8274273.5599999996</v>
      </c>
    </row>
    <row r="15" spans="1:7" x14ac:dyDescent="0.2">
      <c r="A15" s="2" t="s">
        <v>42</v>
      </c>
      <c r="B15" s="5" t="s">
        <v>234</v>
      </c>
      <c r="C15" s="10">
        <f>'Despesa - Access'!P4+'Despesa - Access Emag'!P4</f>
        <v>5126043.01</v>
      </c>
    </row>
    <row r="16" spans="1:7" ht="51" x14ac:dyDescent="0.2">
      <c r="A16" s="6" t="s">
        <v>43</v>
      </c>
      <c r="B16" s="5" t="s">
        <v>242</v>
      </c>
      <c r="C16" s="10">
        <v>0</v>
      </c>
      <c r="D16" s="98" t="s">
        <v>376</v>
      </c>
      <c r="E16" s="98" t="s">
        <v>377</v>
      </c>
      <c r="F16" s="98" t="s">
        <v>378</v>
      </c>
      <c r="G16" s="59"/>
    </row>
    <row r="17" spans="1:7" x14ac:dyDescent="0.2">
      <c r="A17" s="103" t="s">
        <v>71</v>
      </c>
      <c r="B17" s="103"/>
      <c r="C17" s="10">
        <f>SUM(C13:C16)</f>
        <v>36809033.539999999</v>
      </c>
      <c r="D17" s="77">
        <f>46152150.33</f>
        <v>46152150.329999998</v>
      </c>
      <c r="E17" s="77">
        <v>-7145903.21</v>
      </c>
      <c r="F17" s="77">
        <v>-2197213.58</v>
      </c>
      <c r="G17" s="59">
        <f>+D17+E17+F17</f>
        <v>36809033.539999999</v>
      </c>
    </row>
    <row r="18" spans="1:7" x14ac:dyDescent="0.2">
      <c r="D18" s="74"/>
      <c r="E18" s="74"/>
      <c r="F18" s="74"/>
      <c r="G18" s="59"/>
    </row>
    <row r="19" spans="1:7" x14ac:dyDescent="0.2">
      <c r="A19" s="4" t="s">
        <v>72</v>
      </c>
      <c r="D19" s="74"/>
      <c r="E19" s="74"/>
      <c r="F19" s="74"/>
      <c r="G19" s="59"/>
    </row>
    <row r="20" spans="1:7" x14ac:dyDescent="0.2">
      <c r="D20" s="74"/>
      <c r="E20" s="74"/>
      <c r="F20" s="74"/>
      <c r="G20" s="59"/>
    </row>
    <row r="21" spans="1:7" x14ac:dyDescent="0.2">
      <c r="A21" s="3" t="s">
        <v>38</v>
      </c>
      <c r="B21" s="3" t="s">
        <v>39</v>
      </c>
      <c r="C21" s="11" t="s">
        <v>243</v>
      </c>
      <c r="D21" s="74"/>
      <c r="E21" s="74"/>
      <c r="F21" s="74"/>
      <c r="G21" s="59"/>
    </row>
    <row r="22" spans="1:7" x14ac:dyDescent="0.2">
      <c r="A22" s="2" t="s">
        <v>40</v>
      </c>
      <c r="B22" s="2" t="s">
        <v>3</v>
      </c>
      <c r="C22" s="10">
        <f>'Despesa - Access'!P6+'Despesa - Access Emag'!P6</f>
        <v>132846.82999999999</v>
      </c>
      <c r="D22" s="74"/>
      <c r="E22" s="74"/>
      <c r="F22" s="74"/>
      <c r="G22" s="59"/>
    </row>
    <row r="23" spans="1:7" x14ac:dyDescent="0.2">
      <c r="A23" s="2" t="s">
        <v>41</v>
      </c>
      <c r="B23" s="2" t="s">
        <v>4</v>
      </c>
      <c r="C23" s="10">
        <f>'Despesa - Access'!P7+'Despesa - Access Emag'!P7</f>
        <v>1622158.18</v>
      </c>
      <c r="D23" s="74"/>
      <c r="E23" s="74"/>
      <c r="F23" s="74"/>
      <c r="G23" s="59"/>
    </row>
    <row r="24" spans="1:7" x14ac:dyDescent="0.2">
      <c r="A24" s="2" t="s">
        <v>42</v>
      </c>
      <c r="B24" s="2" t="s">
        <v>5</v>
      </c>
      <c r="C24" s="10">
        <f>'Despesa - Access'!P8+'Despesa - Access Emag'!P8</f>
        <v>186633</v>
      </c>
      <c r="D24" s="74"/>
      <c r="E24" s="74"/>
      <c r="F24" s="74"/>
      <c r="G24" s="59"/>
    </row>
    <row r="25" spans="1:7" x14ac:dyDescent="0.2">
      <c r="A25" s="2" t="s">
        <v>43</v>
      </c>
      <c r="B25" s="2" t="s">
        <v>6</v>
      </c>
      <c r="C25" s="10">
        <f>'Despesa - Access'!P9+'Despesa - Access Emag'!P9</f>
        <v>275747.63</v>
      </c>
      <c r="D25" s="74"/>
      <c r="E25" s="74"/>
      <c r="F25" s="74"/>
      <c r="G25" s="59"/>
    </row>
    <row r="26" spans="1:7" x14ac:dyDescent="0.2">
      <c r="A26" s="2" t="s">
        <v>45</v>
      </c>
      <c r="B26" s="2" t="s">
        <v>7</v>
      </c>
      <c r="C26" s="10">
        <f>'Despesa - Access'!P10+'Despesa - Access Emag'!P10</f>
        <v>27694.45</v>
      </c>
      <c r="D26" s="74"/>
      <c r="E26" s="74"/>
      <c r="F26" s="74"/>
      <c r="G26" s="59"/>
    </row>
    <row r="27" spans="1:7" x14ac:dyDescent="0.2">
      <c r="A27" s="2" t="s">
        <v>46</v>
      </c>
      <c r="B27" s="2" t="s">
        <v>68</v>
      </c>
      <c r="C27" s="10">
        <f>'Despesa - Access'!P11+'Despesa - Access Emag'!P11</f>
        <v>146863.96</v>
      </c>
      <c r="D27" s="74"/>
      <c r="E27" s="74"/>
      <c r="F27" s="74"/>
      <c r="G27" s="59"/>
    </row>
    <row r="28" spans="1:7" x14ac:dyDescent="0.2">
      <c r="A28" s="2" t="s">
        <v>47</v>
      </c>
      <c r="B28" s="2" t="s">
        <v>8</v>
      </c>
      <c r="C28" s="10">
        <f>'Despesa - Access'!P12+'Despesa - Access Emag'!P12</f>
        <v>195774.75</v>
      </c>
      <c r="D28" s="74"/>
      <c r="E28" s="74"/>
      <c r="F28" s="74"/>
      <c r="G28" s="59"/>
    </row>
    <row r="29" spans="1:7" x14ac:dyDescent="0.2">
      <c r="A29" s="2" t="s">
        <v>48</v>
      </c>
      <c r="B29" s="2" t="s">
        <v>9</v>
      </c>
      <c r="C29" s="10">
        <f>'Despesa - Access'!P13+'Despesa - Access Emag'!P13</f>
        <v>112472.62</v>
      </c>
      <c r="D29" s="74"/>
      <c r="E29" s="74"/>
      <c r="F29" s="74"/>
      <c r="G29" s="59"/>
    </row>
    <row r="30" spans="1:7" x14ac:dyDescent="0.2">
      <c r="A30" s="2" t="s">
        <v>49</v>
      </c>
      <c r="B30" s="2" t="s">
        <v>10</v>
      </c>
      <c r="C30" s="10">
        <f>'Despesa - Access'!P14+'Despesa - Access Emag'!P14</f>
        <v>-6255.32</v>
      </c>
      <c r="D30" s="74"/>
      <c r="E30" s="74"/>
      <c r="F30" s="74"/>
      <c r="G30" s="59"/>
    </row>
    <row r="31" spans="1:7" x14ac:dyDescent="0.2">
      <c r="A31" s="2" t="s">
        <v>50</v>
      </c>
      <c r="B31" s="2" t="s">
        <v>11</v>
      </c>
      <c r="C31" s="10">
        <f>'Despesa - Access'!P15+'Despesa - Access Emag'!P15</f>
        <v>-15433.7</v>
      </c>
      <c r="D31" s="74"/>
      <c r="E31" s="74"/>
      <c r="F31" s="74"/>
      <c r="G31" s="59"/>
    </row>
    <row r="32" spans="1:7" x14ac:dyDescent="0.2">
      <c r="A32" s="2" t="s">
        <v>51</v>
      </c>
      <c r="B32" s="2" t="s">
        <v>12</v>
      </c>
      <c r="C32" s="10">
        <f>'Despesa - Access'!P16+'Despesa - Access Emag'!P16</f>
        <v>2003.85</v>
      </c>
      <c r="D32" s="74"/>
      <c r="E32" s="74"/>
      <c r="F32" s="74"/>
      <c r="G32" s="59"/>
    </row>
    <row r="33" spans="1:7" x14ac:dyDescent="0.2">
      <c r="A33" s="2" t="s">
        <v>52</v>
      </c>
      <c r="B33" s="2" t="s">
        <v>13</v>
      </c>
      <c r="C33" s="10">
        <f>'Despesa - Access'!P17+'Despesa - Access Emag'!P17</f>
        <v>356122.93</v>
      </c>
      <c r="D33" s="74"/>
      <c r="E33" s="74"/>
      <c r="F33" s="74"/>
      <c r="G33" s="59"/>
    </row>
    <row r="34" spans="1:7" ht="63.75" x14ac:dyDescent="0.2">
      <c r="A34" s="6" t="s">
        <v>53</v>
      </c>
      <c r="B34" s="7" t="s">
        <v>246</v>
      </c>
      <c r="C34" s="10">
        <f>'Despesa - Access'!P18+'Despesa - Access Emag'!P18</f>
        <v>93804.64</v>
      </c>
      <c r="D34" s="74"/>
      <c r="E34" s="74"/>
      <c r="F34" s="99" t="s">
        <v>379</v>
      </c>
      <c r="G34" s="59"/>
    </row>
    <row r="35" spans="1:7" x14ac:dyDescent="0.2">
      <c r="A35" s="2" t="s">
        <v>54</v>
      </c>
      <c r="B35" s="2" t="s">
        <v>14</v>
      </c>
      <c r="C35" s="10">
        <f>'Despesa - Access'!P19+'Despesa - Access Emag'!P19</f>
        <v>674528.9</v>
      </c>
      <c r="D35" s="74"/>
      <c r="E35" s="74"/>
      <c r="F35" s="77">
        <f>+F48+F17</f>
        <v>-2197213.58</v>
      </c>
      <c r="G35" s="59"/>
    </row>
    <row r="36" spans="1:7" x14ac:dyDescent="0.2">
      <c r="A36" s="2" t="s">
        <v>55</v>
      </c>
      <c r="B36" s="2" t="s">
        <v>236</v>
      </c>
      <c r="C36" s="10">
        <f>'Despesa - Access'!P20+'Despesa - Access Emag'!P20</f>
        <v>275435.21999999997</v>
      </c>
      <c r="D36" s="74"/>
      <c r="E36" s="74"/>
      <c r="F36" s="74"/>
      <c r="G36" s="59"/>
    </row>
    <row r="37" spans="1:7" x14ac:dyDescent="0.2">
      <c r="A37" s="2" t="s">
        <v>56</v>
      </c>
      <c r="B37" s="2" t="s">
        <v>15</v>
      </c>
      <c r="C37" s="10">
        <f>'Despesa - Access'!P21+'Despesa - Access Emag'!P21</f>
        <v>-9337.0400000000009</v>
      </c>
      <c r="D37" s="74"/>
      <c r="E37" s="74"/>
      <c r="F37" s="74"/>
      <c r="G37" s="59"/>
    </row>
    <row r="38" spans="1:7" ht="25.5" x14ac:dyDescent="0.2">
      <c r="A38" s="6" t="s">
        <v>57</v>
      </c>
      <c r="B38" s="26" t="s">
        <v>69</v>
      </c>
      <c r="C38" s="10">
        <f>'Despesa - Access'!P22+'Despesa - Access Emag'!P22</f>
        <v>1016849.23</v>
      </c>
      <c r="D38" s="74"/>
      <c r="E38" s="74"/>
      <c r="F38" s="74"/>
      <c r="G38" s="59"/>
    </row>
    <row r="39" spans="1:7" x14ac:dyDescent="0.2">
      <c r="A39" s="2" t="s">
        <v>58</v>
      </c>
      <c r="B39" s="2" t="s">
        <v>16</v>
      </c>
      <c r="C39" s="10">
        <f>'Despesa - Access'!P23+'Despesa - Access Emag'!P23</f>
        <v>547164.53</v>
      </c>
      <c r="D39" s="74"/>
      <c r="E39" s="74"/>
      <c r="F39" s="74"/>
      <c r="G39" s="59"/>
    </row>
    <row r="40" spans="1:7" x14ac:dyDescent="0.2">
      <c r="A40" s="2" t="s">
        <v>59</v>
      </c>
      <c r="B40" s="2" t="s">
        <v>17</v>
      </c>
      <c r="C40" s="10">
        <f>'Despesa - Access'!P24+'Despesa - Access Emag'!P24</f>
        <v>-15971.78</v>
      </c>
      <c r="D40" s="74"/>
      <c r="E40" s="74"/>
      <c r="F40" s="74"/>
      <c r="G40" s="59"/>
    </row>
    <row r="41" spans="1:7" x14ac:dyDescent="0.2">
      <c r="A41" s="2" t="s">
        <v>60</v>
      </c>
      <c r="B41" s="2" t="s">
        <v>18</v>
      </c>
      <c r="C41" s="10">
        <f>'Despesa - Access'!P25+'Despesa - Access Emag'!P25</f>
        <v>195.98</v>
      </c>
      <c r="D41" s="74"/>
      <c r="E41" s="74"/>
      <c r="F41" s="74"/>
      <c r="G41" s="59"/>
    </row>
    <row r="42" spans="1:7" x14ac:dyDescent="0.2">
      <c r="A42" s="2" t="s">
        <v>61</v>
      </c>
      <c r="B42" s="2" t="s">
        <v>19</v>
      </c>
      <c r="C42" s="10">
        <f>'Despesa - Access'!P26+'Despesa - Access Emag'!P26</f>
        <v>7202.72</v>
      </c>
      <c r="D42" s="74"/>
      <c r="E42" s="74"/>
      <c r="F42" s="74"/>
      <c r="G42" s="59"/>
    </row>
    <row r="43" spans="1:7" x14ac:dyDescent="0.2">
      <c r="A43" s="2" t="s">
        <v>62</v>
      </c>
      <c r="B43" s="2" t="s">
        <v>20</v>
      </c>
      <c r="C43" s="10">
        <f>'Despesa - Access'!P27+'Despesa - Access Emag'!P27</f>
        <v>25176.71</v>
      </c>
      <c r="D43" s="74"/>
      <c r="E43" s="74"/>
      <c r="F43" s="74"/>
      <c r="G43" s="59"/>
    </row>
    <row r="44" spans="1:7" x14ac:dyDescent="0.2">
      <c r="A44" s="2" t="s">
        <v>63</v>
      </c>
      <c r="B44" s="2" t="s">
        <v>21</v>
      </c>
      <c r="C44" s="10">
        <f>'Despesa - Access'!P28+'Despesa - Access Emag'!P28</f>
        <v>56737.599999999999</v>
      </c>
      <c r="D44" s="74"/>
      <c r="E44" s="74"/>
      <c r="F44" s="74"/>
      <c r="G44" s="59"/>
    </row>
    <row r="45" spans="1:7" x14ac:dyDescent="0.2">
      <c r="A45" s="2" t="s">
        <v>64</v>
      </c>
      <c r="B45" s="2" t="s">
        <v>70</v>
      </c>
      <c r="C45" s="10">
        <f>'Despesa - Access'!P29+'Despesa - Access Emag'!P29</f>
        <v>-452954.55</v>
      </c>
      <c r="D45" s="74"/>
      <c r="E45" s="74"/>
      <c r="F45" s="74"/>
      <c r="G45" s="59"/>
    </row>
    <row r="46" spans="1:7" x14ac:dyDescent="0.2">
      <c r="A46" s="2" t="s">
        <v>65</v>
      </c>
      <c r="B46" s="2" t="s">
        <v>22</v>
      </c>
      <c r="C46" s="10">
        <f>'Despesa - Access'!P30+'Despesa - Access Emag'!P30</f>
        <v>0</v>
      </c>
      <c r="D46" s="74"/>
      <c r="E46" s="74"/>
      <c r="F46" s="74"/>
      <c r="G46" s="59"/>
    </row>
    <row r="47" spans="1:7" x14ac:dyDescent="0.2">
      <c r="A47" s="2" t="s">
        <v>66</v>
      </c>
      <c r="B47" s="2" t="s">
        <v>23</v>
      </c>
      <c r="C47" s="10">
        <f>'Despesa - Access'!P31+'Despesa - Access Emag'!P31</f>
        <v>855602.17999999993</v>
      </c>
      <c r="D47" s="98" t="s">
        <v>376</v>
      </c>
      <c r="E47" s="98" t="s">
        <v>377</v>
      </c>
      <c r="F47" s="98" t="s">
        <v>378</v>
      </c>
      <c r="G47" s="59"/>
    </row>
    <row r="48" spans="1:7" x14ac:dyDescent="0.2">
      <c r="A48" s="103" t="s">
        <v>71</v>
      </c>
      <c r="B48" s="103"/>
      <c r="C48" s="10">
        <f>SUM(C22:C47)</f>
        <v>6111063.5200000005</v>
      </c>
      <c r="D48" s="77">
        <f>10372413+114035.6</f>
        <v>10486448.6</v>
      </c>
      <c r="E48" s="77">
        <v>-4375385.08</v>
      </c>
      <c r="F48" s="77">
        <v>0</v>
      </c>
      <c r="G48" s="59">
        <f>+D48+E48+F48</f>
        <v>6111063.5199999996</v>
      </c>
    </row>
    <row r="49" spans="1:7" x14ac:dyDescent="0.2">
      <c r="D49" s="74"/>
      <c r="E49" s="74"/>
      <c r="F49" s="74"/>
      <c r="G49" s="59"/>
    </row>
    <row r="50" spans="1:7" x14ac:dyDescent="0.2">
      <c r="A50" s="4" t="s">
        <v>226</v>
      </c>
      <c r="D50" s="74"/>
      <c r="E50" s="74"/>
      <c r="F50" s="74"/>
      <c r="G50" s="59"/>
    </row>
    <row r="51" spans="1:7" x14ac:dyDescent="0.2">
      <c r="D51" s="74"/>
      <c r="E51" s="74"/>
      <c r="F51" s="74"/>
      <c r="G51" s="59"/>
    </row>
    <row r="52" spans="1:7" x14ac:dyDescent="0.2">
      <c r="A52" s="3" t="s">
        <v>38</v>
      </c>
      <c r="B52" s="3" t="s">
        <v>39</v>
      </c>
      <c r="C52" s="11" t="s">
        <v>243</v>
      </c>
      <c r="D52" s="74"/>
      <c r="E52" s="74"/>
      <c r="F52" s="74"/>
      <c r="G52" s="59"/>
    </row>
    <row r="53" spans="1:7" x14ac:dyDescent="0.2">
      <c r="A53" s="2" t="s">
        <v>40</v>
      </c>
      <c r="B53" s="2" t="s">
        <v>25</v>
      </c>
      <c r="C53" s="10">
        <f>'Despesa - Access'!P32+'Despesa - Access Emag'!P32</f>
        <v>-30840.85</v>
      </c>
      <c r="D53" s="74"/>
      <c r="E53" s="74"/>
      <c r="F53" s="74"/>
      <c r="G53" s="59"/>
    </row>
    <row r="54" spans="1:7" x14ac:dyDescent="0.2">
      <c r="A54" s="2" t="s">
        <v>41</v>
      </c>
      <c r="B54" s="2" t="s">
        <v>26</v>
      </c>
      <c r="C54" s="10">
        <f>'Despesa - Access'!P33+'Despesa - Access Emag'!P33</f>
        <v>0</v>
      </c>
      <c r="D54" s="74"/>
      <c r="E54" s="74"/>
      <c r="F54" s="74"/>
      <c r="G54" s="59"/>
    </row>
    <row r="55" spans="1:7" x14ac:dyDescent="0.2">
      <c r="A55" s="2" t="s">
        <v>42</v>
      </c>
      <c r="B55" s="2" t="s">
        <v>67</v>
      </c>
      <c r="C55" s="10">
        <f>'Despesa - Access'!P34+'Despesa - Access Emag'!P34</f>
        <v>3305195</v>
      </c>
      <c r="D55" s="74"/>
      <c r="E55" s="74"/>
      <c r="F55" s="74"/>
      <c r="G55" s="59"/>
    </row>
    <row r="56" spans="1:7" x14ac:dyDescent="0.2">
      <c r="A56" s="2" t="s">
        <v>43</v>
      </c>
      <c r="B56" s="2" t="s">
        <v>27</v>
      </c>
      <c r="C56" s="10">
        <f>'Despesa - Access'!P35+'Despesa - Access Emag'!P35</f>
        <v>-1088940</v>
      </c>
      <c r="D56" s="74"/>
      <c r="E56" s="74"/>
      <c r="F56" s="74"/>
      <c r="G56" s="59"/>
    </row>
    <row r="57" spans="1:7" x14ac:dyDescent="0.2">
      <c r="A57" s="2" t="s">
        <v>45</v>
      </c>
      <c r="B57" s="2" t="s">
        <v>28</v>
      </c>
      <c r="C57" s="10">
        <f>'Despesa - Access'!P36+'Despesa - Access Emag'!P36</f>
        <v>-1783157.17</v>
      </c>
      <c r="D57" s="98" t="s">
        <v>376</v>
      </c>
      <c r="E57" s="98" t="s">
        <v>377</v>
      </c>
      <c r="F57" s="98" t="s">
        <v>378</v>
      </c>
      <c r="G57" s="59"/>
    </row>
    <row r="58" spans="1:7" x14ac:dyDescent="0.2">
      <c r="A58" s="103" t="s">
        <v>71</v>
      </c>
      <c r="B58" s="103"/>
      <c r="C58" s="10">
        <f>SUM(C53:C57)</f>
        <v>402256.98</v>
      </c>
      <c r="D58" s="77">
        <v>4545941.43</v>
      </c>
      <c r="E58" s="77">
        <v>-4143684.45</v>
      </c>
      <c r="F58" s="77">
        <v>0</v>
      </c>
      <c r="G58" s="59">
        <f>+D58+E58+F58</f>
        <v>402256.97999999952</v>
      </c>
    </row>
    <row r="59" spans="1:7" x14ac:dyDescent="0.2">
      <c r="D59" s="74"/>
      <c r="E59" s="74"/>
      <c r="F59" s="74"/>
      <c r="G59" s="59"/>
    </row>
    <row r="60" spans="1:7" x14ac:dyDescent="0.2">
      <c r="A60" s="4" t="s">
        <v>73</v>
      </c>
      <c r="D60" s="74"/>
      <c r="E60" s="74"/>
      <c r="F60" s="100"/>
      <c r="G60" s="59"/>
    </row>
    <row r="61" spans="1:7" x14ac:dyDescent="0.2">
      <c r="D61" s="74"/>
      <c r="E61" s="101"/>
      <c r="F61" s="100"/>
      <c r="G61" s="59"/>
    </row>
    <row r="62" spans="1:7" x14ac:dyDescent="0.2">
      <c r="A62" s="3" t="s">
        <v>38</v>
      </c>
      <c r="B62" s="3" t="s">
        <v>39</v>
      </c>
      <c r="C62" s="11" t="s">
        <v>244</v>
      </c>
    </row>
    <row r="63" spans="1:7" x14ac:dyDescent="0.2">
      <c r="A63" s="2" t="s">
        <v>40</v>
      </c>
      <c r="B63" s="2" t="s">
        <v>30</v>
      </c>
      <c r="C63" s="10">
        <f>'Despesa - Access'!P37+'Despesa - Access Emag'!P37</f>
        <v>0</v>
      </c>
    </row>
    <row r="64" spans="1:7" x14ac:dyDescent="0.2">
      <c r="A64" s="2" t="s">
        <v>41</v>
      </c>
      <c r="B64" s="2" t="s">
        <v>31</v>
      </c>
      <c r="C64" s="10">
        <f>'Despesa - Access'!P38+'Despesa - Access Emag'!P38</f>
        <v>0</v>
      </c>
    </row>
    <row r="65" spans="1:4" x14ac:dyDescent="0.2">
      <c r="A65" s="103" t="s">
        <v>71</v>
      </c>
      <c r="B65" s="103"/>
      <c r="C65" s="10">
        <f>SUM(C63:C64)</f>
        <v>0</v>
      </c>
    </row>
    <row r="67" spans="1:4" x14ac:dyDescent="0.2">
      <c r="A67" s="4" t="s">
        <v>74</v>
      </c>
    </row>
    <row r="69" spans="1:4" x14ac:dyDescent="0.2">
      <c r="A69" s="3" t="s">
        <v>38</v>
      </c>
      <c r="B69" s="3" t="s">
        <v>39</v>
      </c>
      <c r="C69" s="11" t="s">
        <v>243</v>
      </c>
    </row>
    <row r="70" spans="1:4" x14ac:dyDescent="0.2">
      <c r="A70" s="2" t="s">
        <v>40</v>
      </c>
      <c r="B70" s="2" t="s">
        <v>75</v>
      </c>
      <c r="C70" s="9">
        <f>'Financeiro - Access'!P2+'Financeiro - Access Emag'!P2</f>
        <v>46147314.539999999</v>
      </c>
    </row>
    <row r="71" spans="1:4" x14ac:dyDescent="0.2">
      <c r="A71" s="2" t="s">
        <v>41</v>
      </c>
      <c r="B71" s="2" t="s">
        <v>76</v>
      </c>
      <c r="C71" s="9">
        <f>'Financeiro - Access'!P3+'Financeiro - Access Emag'!P3</f>
        <v>3028481.3899999997</v>
      </c>
    </row>
    <row r="72" spans="1:4" x14ac:dyDescent="0.2">
      <c r="A72" s="2" t="s">
        <v>42</v>
      </c>
      <c r="B72" s="2" t="s">
        <v>215</v>
      </c>
      <c r="C72" s="9">
        <f>'Financeiro - Access'!P4+'Financeiro - Access Emag'!P4</f>
        <v>3261614.31</v>
      </c>
    </row>
    <row r="73" spans="1:4" x14ac:dyDescent="0.2">
      <c r="A73" s="2" t="s">
        <v>43</v>
      </c>
      <c r="B73" s="2" t="s">
        <v>238</v>
      </c>
      <c r="C73" s="9">
        <f>'Financeiro - Access'!P5+'Financeiro - Access Emag'!P5</f>
        <v>0</v>
      </c>
    </row>
    <row r="74" spans="1:4" x14ac:dyDescent="0.2">
      <c r="A74" s="103" t="s">
        <v>71</v>
      </c>
      <c r="B74" s="103"/>
      <c r="C74" s="10">
        <f>SUM(C70:C73)</f>
        <v>52437410.240000002</v>
      </c>
      <c r="D74" s="89" t="s">
        <v>346</v>
      </c>
    </row>
    <row r="76" spans="1:4" x14ac:dyDescent="0.2">
      <c r="A76" s="4" t="s">
        <v>220</v>
      </c>
    </row>
    <row r="78" spans="1:4" x14ac:dyDescent="0.2">
      <c r="A78" s="3" t="s">
        <v>38</v>
      </c>
      <c r="B78" s="3" t="s">
        <v>39</v>
      </c>
      <c r="C78" s="11" t="s">
        <v>243</v>
      </c>
    </row>
    <row r="79" spans="1:4" x14ac:dyDescent="0.2">
      <c r="A79" s="2" t="s">
        <v>40</v>
      </c>
      <c r="B79" s="2" t="s">
        <v>239</v>
      </c>
      <c r="C79" s="9"/>
    </row>
    <row r="80" spans="1:4" x14ac:dyDescent="0.2">
      <c r="A80" s="2" t="s">
        <v>41</v>
      </c>
      <c r="B80" s="2" t="s">
        <v>240</v>
      </c>
      <c r="C80" s="9"/>
    </row>
    <row r="81" spans="1:9" x14ac:dyDescent="0.2">
      <c r="A81" s="2" t="s">
        <v>42</v>
      </c>
      <c r="B81" s="2" t="s">
        <v>241</v>
      </c>
      <c r="C81" s="9"/>
    </row>
    <row r="82" spans="1:9" x14ac:dyDescent="0.2">
      <c r="A82" s="2" t="s">
        <v>43</v>
      </c>
      <c r="B82" s="2" t="s">
        <v>77</v>
      </c>
      <c r="C82" s="9">
        <f>737500+334205</f>
        <v>1071705</v>
      </c>
    </row>
    <row r="83" spans="1:9" x14ac:dyDescent="0.2">
      <c r="A83" s="103" t="s">
        <v>71</v>
      </c>
      <c r="B83" s="103"/>
      <c r="C83" s="10">
        <f>SUM(C79:C82)</f>
        <v>1071705</v>
      </c>
    </row>
    <row r="84" spans="1:9" x14ac:dyDescent="0.2">
      <c r="A84" s="119" t="s">
        <v>293</v>
      </c>
      <c r="B84" s="119"/>
      <c r="C84" s="119"/>
    </row>
    <row r="87" spans="1:9" x14ac:dyDescent="0.2">
      <c r="A87" s="109" t="s">
        <v>99</v>
      </c>
      <c r="B87" s="109"/>
      <c r="C87" s="109"/>
      <c r="D87" s="109"/>
      <c r="E87" s="109"/>
    </row>
    <row r="88" spans="1:9" x14ac:dyDescent="0.2">
      <c r="A88" s="88"/>
      <c r="B88" s="88"/>
      <c r="C88" s="88"/>
    </row>
    <row r="89" spans="1:9" x14ac:dyDescent="0.2">
      <c r="C89" s="11" t="s">
        <v>111</v>
      </c>
      <c r="D89" s="71" t="s">
        <v>110</v>
      </c>
      <c r="E89" s="71" t="s">
        <v>71</v>
      </c>
      <c r="I89" s="54"/>
    </row>
    <row r="90" spans="1:9" x14ac:dyDescent="0.2">
      <c r="A90" s="112"/>
      <c r="B90" s="111"/>
      <c r="C90" s="9">
        <v>0</v>
      </c>
      <c r="D90" s="45">
        <f>'Anexo I - Mai'!C91</f>
        <v>0</v>
      </c>
      <c r="E90" s="45">
        <f>C90-D90</f>
        <v>0</v>
      </c>
      <c r="I90" s="54"/>
    </row>
    <row r="91" spans="1:9" x14ac:dyDescent="0.2">
      <c r="A91" s="112" t="s">
        <v>343</v>
      </c>
      <c r="B91" s="111"/>
      <c r="C91" s="9">
        <f>633765694.28-15605062.67-2197213.58</f>
        <v>615963418.02999997</v>
      </c>
      <c r="D91" s="45">
        <f>'Anexo I - Nov'!C92</f>
        <v>574892403.10000002</v>
      </c>
      <c r="E91" s="45">
        <f>C91-D91</f>
        <v>41071014.929999948</v>
      </c>
      <c r="G91" s="138" t="s">
        <v>351</v>
      </c>
      <c r="H91" s="138"/>
      <c r="I91" s="138"/>
    </row>
    <row r="92" spans="1:9" x14ac:dyDescent="0.2">
      <c r="A92" s="112" t="s">
        <v>344</v>
      </c>
      <c r="B92" s="111"/>
      <c r="C92" s="9">
        <f>302950.42-59910.07</f>
        <v>243040.34999999998</v>
      </c>
      <c r="D92" s="45">
        <f>'Anexo I - Nov'!C93</f>
        <v>188914.82</v>
      </c>
      <c r="E92" s="45">
        <f>C92-D92</f>
        <v>54125.52999999997</v>
      </c>
      <c r="G92" s="138"/>
      <c r="H92" s="138"/>
      <c r="I92" s="138"/>
    </row>
    <row r="93" spans="1:9" x14ac:dyDescent="0.2">
      <c r="A93" s="112" t="s">
        <v>97</v>
      </c>
      <c r="B93" s="120"/>
      <c r="C93" s="120"/>
      <c r="D93" s="111"/>
      <c r="E93" s="84">
        <f>SUM(E90:E92)</f>
        <v>41125140.459999949</v>
      </c>
      <c r="F93" s="65">
        <f>+E93-E94</f>
        <v>-2197213.5800000504</v>
      </c>
      <c r="G93" s="138"/>
      <c r="H93" s="138"/>
      <c r="I93" s="138"/>
    </row>
    <row r="94" spans="1:9" x14ac:dyDescent="0.2">
      <c r="A94" s="112" t="s">
        <v>98</v>
      </c>
      <c r="B94" s="120"/>
      <c r="C94" s="120"/>
      <c r="D94" s="111"/>
      <c r="E94" s="84">
        <f>C17+C48+C58+C65</f>
        <v>43322354.039999999</v>
      </c>
      <c r="I94" s="54"/>
    </row>
    <row r="96" spans="1:9" x14ac:dyDescent="0.2">
      <c r="D96" s="72" t="s">
        <v>337</v>
      </c>
      <c r="E96" s="85">
        <f>61070504.76+114035.6-15664972.74</f>
        <v>45519567.619999997</v>
      </c>
      <c r="F96" s="65"/>
    </row>
    <row r="97" spans="5:10" x14ac:dyDescent="0.2">
      <c r="E97" s="86" t="str">
        <f>IF(E94=E96,"Despesa Ok","Diferença")</f>
        <v>Diferença</v>
      </c>
      <c r="F97" s="8"/>
    </row>
    <row r="98" spans="5:10" x14ac:dyDescent="0.2">
      <c r="E98" s="54">
        <f>+E96-E94</f>
        <v>2197213.5799999982</v>
      </c>
      <c r="F98" s="91"/>
      <c r="H98" s="59"/>
    </row>
    <row r="99" spans="5:10" x14ac:dyDescent="0.2">
      <c r="F99" s="91"/>
      <c r="H99" s="59"/>
      <c r="J99" s="93"/>
    </row>
    <row r="100" spans="5:10" x14ac:dyDescent="0.2">
      <c r="F100" s="91"/>
      <c r="H100" s="59"/>
      <c r="J100" s="93"/>
    </row>
    <row r="101" spans="5:10" x14ac:dyDescent="0.2">
      <c r="H101" s="59"/>
    </row>
    <row r="102" spans="5:10" x14ac:dyDescent="0.2">
      <c r="F102" s="92"/>
      <c r="H102" s="59"/>
    </row>
    <row r="103" spans="5:10" x14ac:dyDescent="0.2">
      <c r="H103" s="59"/>
    </row>
  </sheetData>
  <mergeCells count="21">
    <mergeCell ref="A94:D94"/>
    <mergeCell ref="A90:B90"/>
    <mergeCell ref="A91:B91"/>
    <mergeCell ref="A87:E87"/>
    <mergeCell ref="A92:B92"/>
    <mergeCell ref="A93:D93"/>
    <mergeCell ref="G91:I93"/>
    <mergeCell ref="A1:C1"/>
    <mergeCell ref="B3:C3"/>
    <mergeCell ref="B4:C4"/>
    <mergeCell ref="B5:C5"/>
    <mergeCell ref="A48:B48"/>
    <mergeCell ref="A58:B58"/>
    <mergeCell ref="A65:B65"/>
    <mergeCell ref="A74:B74"/>
    <mergeCell ref="B6:C6"/>
    <mergeCell ref="B7:C7"/>
    <mergeCell ref="B8:C8"/>
    <mergeCell ref="A17:B17"/>
    <mergeCell ref="A83:B83"/>
    <mergeCell ref="A84:C8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showGridLines="0" view="pageBreakPreview" topLeftCell="B1" zoomScale="115" zoomScaleNormal="95" zoomScaleSheetLayoutView="115" workbookViewId="0">
      <selection activeCell="I90" sqref="I90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08" t="s">
        <v>224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32" t="s">
        <v>221</v>
      </c>
      <c r="C4" s="132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32" t="s">
        <v>222</v>
      </c>
      <c r="C6" s="132"/>
    </row>
    <row r="7" spans="1:3" x14ac:dyDescent="0.2">
      <c r="A7" s="2" t="s">
        <v>36</v>
      </c>
      <c r="B7" s="133" t="s">
        <v>387</v>
      </c>
      <c r="C7" s="134"/>
    </row>
    <row r="8" spans="1:3" x14ac:dyDescent="0.2">
      <c r="A8" s="2" t="s">
        <v>37</v>
      </c>
      <c r="B8" s="124">
        <v>43119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'RP - Access'!E2+'RP - AccessEmag'!E2</f>
        <v>8504360.5199999996</v>
      </c>
    </row>
    <row r="14" spans="1:3" x14ac:dyDescent="0.2">
      <c r="A14" s="2" t="s">
        <v>41</v>
      </c>
      <c r="B14" s="5" t="s">
        <v>2</v>
      </c>
      <c r="C14" s="10">
        <f>'RP - Access'!E3+'RP - AccessEmag'!E3</f>
        <v>583126.41</v>
      </c>
    </row>
    <row r="15" spans="1:3" x14ac:dyDescent="0.2">
      <c r="A15" s="2" t="s">
        <v>42</v>
      </c>
      <c r="B15" s="5" t="s">
        <v>44</v>
      </c>
      <c r="C15" s="10">
        <f>'RP - Access'!E4+'RP - AccessEmag'!E4</f>
        <v>255629.86</v>
      </c>
    </row>
    <row r="16" spans="1:3" ht="51" x14ac:dyDescent="0.2">
      <c r="A16" s="6" t="s">
        <v>43</v>
      </c>
      <c r="B16" s="5" t="s">
        <v>242</v>
      </c>
      <c r="C16" s="10">
        <f>'RP - Access'!E5+'RP - AccessEmag'!E5</f>
        <v>0</v>
      </c>
    </row>
    <row r="17" spans="1:3" x14ac:dyDescent="0.2">
      <c r="A17" s="103" t="s">
        <v>71</v>
      </c>
      <c r="B17" s="103"/>
      <c r="C17" s="10">
        <f>SUM(C13:C16)</f>
        <v>9343116.7899999991</v>
      </c>
    </row>
    <row r="19" spans="1:3" x14ac:dyDescent="0.2">
      <c r="A19" s="4" t="s">
        <v>72</v>
      </c>
    </row>
    <row r="21" spans="1:3" x14ac:dyDescent="0.2">
      <c r="A21" s="3" t="s">
        <v>38</v>
      </c>
      <c r="B21" s="3" t="s">
        <v>39</v>
      </c>
      <c r="C21" s="11" t="s">
        <v>244</v>
      </c>
    </row>
    <row r="22" spans="1:3" x14ac:dyDescent="0.2">
      <c r="A22" s="2" t="s">
        <v>40</v>
      </c>
      <c r="B22" s="2" t="s">
        <v>3</v>
      </c>
      <c r="C22" s="9">
        <f>'RP - Access'!E6+'RP - AccessEmag'!E6</f>
        <v>0</v>
      </c>
    </row>
    <row r="23" spans="1:3" x14ac:dyDescent="0.2">
      <c r="A23" s="2" t="s">
        <v>41</v>
      </c>
      <c r="B23" s="2" t="s">
        <v>4</v>
      </c>
      <c r="C23" s="9">
        <f>'RP - Access'!E7+'RP - AccessEmag'!E7</f>
        <v>321.45</v>
      </c>
    </row>
    <row r="24" spans="1:3" x14ac:dyDescent="0.2">
      <c r="A24" s="2" t="s">
        <v>42</v>
      </c>
      <c r="B24" s="2" t="s">
        <v>5</v>
      </c>
      <c r="C24" s="9">
        <f>'RP - Access'!E8+'RP - AccessEmag'!E8</f>
        <v>0</v>
      </c>
    </row>
    <row r="25" spans="1:3" x14ac:dyDescent="0.2">
      <c r="A25" s="2" t="s">
        <v>43</v>
      </c>
      <c r="B25" s="2" t="s">
        <v>6</v>
      </c>
      <c r="C25" s="9">
        <f>'RP - Access'!E9+'RP - AccessEmag'!E9</f>
        <v>957424.08</v>
      </c>
    </row>
    <row r="26" spans="1:3" x14ac:dyDescent="0.2">
      <c r="A26" s="2" t="s">
        <v>45</v>
      </c>
      <c r="B26" s="2" t="s">
        <v>7</v>
      </c>
      <c r="C26" s="9">
        <f>'RP - Access'!E10+'RP - AccessEmag'!E10</f>
        <v>0</v>
      </c>
    </row>
    <row r="27" spans="1:3" x14ac:dyDescent="0.2">
      <c r="A27" s="2" t="s">
        <v>46</v>
      </c>
      <c r="B27" s="2" t="s">
        <v>68</v>
      </c>
      <c r="C27" s="9">
        <f>'RP - Access'!E11+'RP - AccessEmag'!E11</f>
        <v>0</v>
      </c>
    </row>
    <row r="28" spans="1:3" x14ac:dyDescent="0.2">
      <c r="A28" s="2" t="s">
        <v>47</v>
      </c>
      <c r="B28" s="2" t="s">
        <v>8</v>
      </c>
      <c r="C28" s="9">
        <f>'RP - Access'!E12+'RP - AccessEmag'!E12</f>
        <v>0</v>
      </c>
    </row>
    <row r="29" spans="1:3" x14ac:dyDescent="0.2">
      <c r="A29" s="2" t="s">
        <v>48</v>
      </c>
      <c r="B29" s="2" t="s">
        <v>9</v>
      </c>
      <c r="C29" s="9">
        <f>'RP - Access'!E13+'RP - AccessEmag'!E13</f>
        <v>112472.69</v>
      </c>
    </row>
    <row r="30" spans="1:3" x14ac:dyDescent="0.2">
      <c r="A30" s="2" t="s">
        <v>49</v>
      </c>
      <c r="B30" s="2" t="s">
        <v>10</v>
      </c>
      <c r="C30" s="9">
        <f>'RP - Access'!E14+'RP - AccessEmag'!E14</f>
        <v>98127.66</v>
      </c>
    </row>
    <row r="31" spans="1:3" x14ac:dyDescent="0.2">
      <c r="A31" s="2" t="s">
        <v>50</v>
      </c>
      <c r="B31" s="2" t="s">
        <v>11</v>
      </c>
      <c r="C31" s="9">
        <f>'RP - Access'!E15+'RP - AccessEmag'!E15</f>
        <v>310362.84999999998</v>
      </c>
    </row>
    <row r="32" spans="1:3" x14ac:dyDescent="0.2">
      <c r="A32" s="2" t="s">
        <v>51</v>
      </c>
      <c r="B32" s="2" t="s">
        <v>12</v>
      </c>
      <c r="C32" s="9">
        <f>'RP - Access'!E16+'RP - AccessEmag'!E16</f>
        <v>19013.61</v>
      </c>
    </row>
    <row r="33" spans="1:3" x14ac:dyDescent="0.2">
      <c r="A33" s="2" t="s">
        <v>52</v>
      </c>
      <c r="B33" s="2" t="s">
        <v>13</v>
      </c>
      <c r="C33" s="9">
        <f>'RP - Access'!E17+'RP - AccessEmag'!E17</f>
        <v>297337.62</v>
      </c>
    </row>
    <row r="34" spans="1:3" ht="63.75" x14ac:dyDescent="0.2">
      <c r="A34" s="6" t="s">
        <v>53</v>
      </c>
      <c r="B34" s="7" t="s">
        <v>246</v>
      </c>
      <c r="C34" s="9">
        <f>'RP - Access'!E18+'RP - AccessEmag'!E18</f>
        <v>353648.89</v>
      </c>
    </row>
    <row r="35" spans="1:3" x14ac:dyDescent="0.2">
      <c r="A35" s="2" t="s">
        <v>54</v>
      </c>
      <c r="B35" s="2" t="s">
        <v>14</v>
      </c>
      <c r="C35" s="9">
        <f>'RP - Access'!E19+'RP - AccessEmag'!E19</f>
        <v>138205.72</v>
      </c>
    </row>
    <row r="36" spans="1:3" x14ac:dyDescent="0.2">
      <c r="A36" s="2" t="s">
        <v>55</v>
      </c>
      <c r="B36" s="2" t="s">
        <v>236</v>
      </c>
      <c r="C36" s="9">
        <f>'RP - Access'!E20+'RP - AccessEmag'!E20</f>
        <v>68958.48</v>
      </c>
    </row>
    <row r="37" spans="1:3" x14ac:dyDescent="0.2">
      <c r="A37" s="2" t="s">
        <v>56</v>
      </c>
      <c r="B37" s="2" t="s">
        <v>15</v>
      </c>
      <c r="C37" s="9">
        <f>'RP - Access'!E21+'RP - AccessEmag'!E21</f>
        <v>17336.080000000002</v>
      </c>
    </row>
    <row r="38" spans="1:3" ht="25.5" x14ac:dyDescent="0.2">
      <c r="A38" s="26" t="s">
        <v>57</v>
      </c>
      <c r="B38" s="26" t="s">
        <v>69</v>
      </c>
      <c r="C38" s="9">
        <f>'RP - Access'!E22+'RP - AccessEmag'!E22</f>
        <v>274567.2</v>
      </c>
    </row>
    <row r="39" spans="1:3" x14ac:dyDescent="0.2">
      <c r="A39" s="2" t="s">
        <v>58</v>
      </c>
      <c r="B39" s="2" t="s">
        <v>16</v>
      </c>
      <c r="C39" s="9">
        <f>'RP - Access'!E23+'RP - AccessEmag'!E23</f>
        <v>125999.43</v>
      </c>
    </row>
    <row r="40" spans="1:3" x14ac:dyDescent="0.2">
      <c r="A40" s="2" t="s">
        <v>59</v>
      </c>
      <c r="B40" s="2" t="s">
        <v>17</v>
      </c>
      <c r="C40" s="9">
        <f>'RP - Access'!E24+'RP - AccessEmag'!E24</f>
        <v>20675.43</v>
      </c>
    </row>
    <row r="41" spans="1:3" x14ac:dyDescent="0.2">
      <c r="A41" s="2" t="s">
        <v>60</v>
      </c>
      <c r="B41" s="2" t="s">
        <v>18</v>
      </c>
      <c r="C41" s="9">
        <f>'RP - Access'!E25+'RP - AccessEmag'!E25</f>
        <v>10701.06</v>
      </c>
    </row>
    <row r="42" spans="1:3" x14ac:dyDescent="0.2">
      <c r="A42" s="2" t="s">
        <v>61</v>
      </c>
      <c r="B42" s="2" t="s">
        <v>19</v>
      </c>
      <c r="C42" s="9">
        <f>'RP - Access'!E26+'RP - AccessEmag'!E26</f>
        <v>0</v>
      </c>
    </row>
    <row r="43" spans="1:3" x14ac:dyDescent="0.2">
      <c r="A43" s="2" t="s">
        <v>62</v>
      </c>
      <c r="B43" s="2" t="s">
        <v>20</v>
      </c>
      <c r="C43" s="9">
        <f>'RP - Access'!E27+'RP - AccessEmag'!E27</f>
        <v>4000</v>
      </c>
    </row>
    <row r="44" spans="1:3" x14ac:dyDescent="0.2">
      <c r="A44" s="2" t="s">
        <v>63</v>
      </c>
      <c r="B44" s="2" t="s">
        <v>21</v>
      </c>
      <c r="C44" s="9">
        <f>'RP - Access'!E28+'RP - AccessEmag'!E28</f>
        <v>20267.2</v>
      </c>
    </row>
    <row r="45" spans="1:3" x14ac:dyDescent="0.2">
      <c r="A45" s="2" t="s">
        <v>64</v>
      </c>
      <c r="B45" s="2" t="s">
        <v>70</v>
      </c>
      <c r="C45" s="9">
        <f>'RP - Access'!E29+'RP - AccessEmag'!E29</f>
        <v>597177.91</v>
      </c>
    </row>
    <row r="46" spans="1:3" x14ac:dyDescent="0.2">
      <c r="A46" s="2" t="s">
        <v>65</v>
      </c>
      <c r="B46" s="2" t="s">
        <v>22</v>
      </c>
      <c r="C46" s="9">
        <f>'RP - Access'!E30+'RP - AccessEmag'!E30</f>
        <v>0</v>
      </c>
    </row>
    <row r="47" spans="1:3" x14ac:dyDescent="0.2">
      <c r="A47" s="2" t="s">
        <v>66</v>
      </c>
      <c r="B47" s="2" t="s">
        <v>23</v>
      </c>
      <c r="C47" s="9">
        <f>'RP - Access'!E31+'RP - AccessEmag'!E31</f>
        <v>948787.72</v>
      </c>
    </row>
    <row r="48" spans="1:3" x14ac:dyDescent="0.2">
      <c r="A48" s="103" t="s">
        <v>71</v>
      </c>
      <c r="B48" s="103"/>
      <c r="C48" s="10">
        <f>SUM(C22:C47)</f>
        <v>4375385.080000001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243</v>
      </c>
    </row>
    <row r="53" spans="1:3" x14ac:dyDescent="0.2">
      <c r="A53" s="2" t="s">
        <v>40</v>
      </c>
      <c r="B53" s="2" t="s">
        <v>25</v>
      </c>
      <c r="C53" s="9">
        <f>'RP - Access'!E32+'RP - AccessEmag'!E32</f>
        <v>30840.85</v>
      </c>
    </row>
    <row r="54" spans="1:3" x14ac:dyDescent="0.2">
      <c r="A54" s="2" t="s">
        <v>41</v>
      </c>
      <c r="B54" s="2" t="s">
        <v>26</v>
      </c>
      <c r="C54" s="9">
        <f>'RP - Access'!E33+'RP - AccessEmag'!E33</f>
        <v>0</v>
      </c>
    </row>
    <row r="55" spans="1:3" x14ac:dyDescent="0.2">
      <c r="A55" s="2" t="s">
        <v>42</v>
      </c>
      <c r="B55" s="2" t="s">
        <v>67</v>
      </c>
      <c r="C55" s="9">
        <f>'RP - Access'!E34+'RP - AccessEmag'!E34</f>
        <v>1068805</v>
      </c>
    </row>
    <row r="56" spans="1:3" x14ac:dyDescent="0.2">
      <c r="A56" s="2" t="s">
        <v>43</v>
      </c>
      <c r="B56" s="2" t="s">
        <v>27</v>
      </c>
      <c r="C56" s="9">
        <f>'RP - Access'!E35+'RP - AccessEmag'!E35</f>
        <v>1096680</v>
      </c>
    </row>
    <row r="57" spans="1:3" x14ac:dyDescent="0.2">
      <c r="A57" s="2" t="s">
        <v>45</v>
      </c>
      <c r="B57" s="2" t="s">
        <v>28</v>
      </c>
      <c r="C57" s="9">
        <f>'RP - Access'!E36+'RP - AccessEmag'!E36</f>
        <v>1947358.6</v>
      </c>
    </row>
    <row r="58" spans="1:3" x14ac:dyDescent="0.2">
      <c r="A58" s="103" t="s">
        <v>71</v>
      </c>
      <c r="B58" s="103"/>
      <c r="C58" s="10">
        <f>SUM(C53:C57)</f>
        <v>4143684.45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244</v>
      </c>
    </row>
    <row r="63" spans="1:3" x14ac:dyDescent="0.2">
      <c r="A63" s="2" t="s">
        <v>40</v>
      </c>
      <c r="B63" s="2" t="s">
        <v>30</v>
      </c>
      <c r="C63" s="9">
        <f>'RP - Access'!E37+'RP - AccessEmag'!E37</f>
        <v>0</v>
      </c>
    </row>
    <row r="64" spans="1:3" x14ac:dyDescent="0.2">
      <c r="A64" s="2" t="s">
        <v>41</v>
      </c>
      <c r="B64" s="2" t="s">
        <v>31</v>
      </c>
      <c r="C64" s="9">
        <f>'RP - Access'!E38+'RP - AccessEmag'!E38</f>
        <v>0</v>
      </c>
    </row>
    <row r="65" spans="1:4" x14ac:dyDescent="0.2">
      <c r="A65" s="103" t="s">
        <v>71</v>
      </c>
      <c r="B65" s="103"/>
      <c r="C65" s="10">
        <f>SUM(C63:C64)</f>
        <v>0</v>
      </c>
    </row>
    <row r="66" spans="1:4" x14ac:dyDescent="0.2">
      <c r="A66" s="139" t="s">
        <v>294</v>
      </c>
      <c r="B66" s="139"/>
      <c r="C66" s="139"/>
    </row>
    <row r="68" spans="1:4" x14ac:dyDescent="0.2">
      <c r="A68" s="109" t="s">
        <v>99</v>
      </c>
      <c r="B68" s="109"/>
      <c r="C68" s="109"/>
    </row>
    <row r="70" spans="1:4" x14ac:dyDescent="0.2">
      <c r="A70" s="140" t="s">
        <v>172</v>
      </c>
      <c r="B70" s="141"/>
      <c r="C70" s="29">
        <f>13383759.33+2221303.34+2197213.58+59910.07</f>
        <v>17862186.32</v>
      </c>
    </row>
    <row r="71" spans="1:4" x14ac:dyDescent="0.2">
      <c r="A71" s="112" t="s">
        <v>98</v>
      </c>
      <c r="B71" s="111"/>
      <c r="C71" s="27">
        <f>C17+C48+C58+C65</f>
        <v>17862186.32</v>
      </c>
      <c r="D71" s="8">
        <f>+C71-C70</f>
        <v>0</v>
      </c>
    </row>
  </sheetData>
  <mergeCells count="15">
    <mergeCell ref="A66:C66"/>
    <mergeCell ref="A70:B70"/>
    <mergeCell ref="A68:C68"/>
    <mergeCell ref="A71:B71"/>
    <mergeCell ref="A1:C1"/>
    <mergeCell ref="B3:C3"/>
    <mergeCell ref="B4:C4"/>
    <mergeCell ref="B5:C5"/>
    <mergeCell ref="B6:C6"/>
    <mergeCell ref="A65:B65"/>
    <mergeCell ref="B7:C7"/>
    <mergeCell ref="B8:C8"/>
    <mergeCell ref="A17:B17"/>
    <mergeCell ref="A48:B48"/>
    <mergeCell ref="A58:B58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showGridLines="0" topLeftCell="A6" zoomScaleNormal="100" workbookViewId="0">
      <selection activeCell="I90" sqref="I90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7" width="15.140625" style="22" bestFit="1" customWidth="1"/>
    <col min="8" max="8" width="13.7109375" style="22" customWidth="1"/>
    <col min="9" max="9" width="14.85546875" style="22" bestFit="1" customWidth="1"/>
    <col min="10" max="10" width="13.7109375" style="22" customWidth="1"/>
    <col min="11" max="11" width="19.140625" style="22" bestFit="1" customWidth="1"/>
    <col min="12" max="13" width="13.7109375" style="22" customWidth="1"/>
    <col min="14" max="14" width="16.140625" style="22" bestFit="1" customWidth="1"/>
    <col min="15" max="15" width="15.140625" style="22" bestFit="1" customWidth="1"/>
    <col min="16" max="16" width="8.7109375" style="23" customWidth="1"/>
    <col min="17" max="17" width="14.85546875" style="22" bestFit="1" customWidth="1"/>
    <col min="18" max="18" width="8.7109375" style="23" customWidth="1"/>
    <col min="19" max="19" width="16.140625" style="22" bestFit="1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42" t="s">
        <v>190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86</v>
      </c>
      <c r="B3" s="14" t="s">
        <v>87</v>
      </c>
      <c r="C3" s="14" t="s">
        <v>88</v>
      </c>
      <c r="D3" s="14" t="s">
        <v>78</v>
      </c>
      <c r="E3" s="14" t="s">
        <v>89</v>
      </c>
      <c r="F3" s="14" t="s">
        <v>79</v>
      </c>
      <c r="G3" s="15" t="s">
        <v>90</v>
      </c>
      <c r="H3" s="15" t="s">
        <v>80</v>
      </c>
      <c r="I3" s="15" t="s">
        <v>81</v>
      </c>
      <c r="J3" s="15" t="s">
        <v>91</v>
      </c>
      <c r="K3" s="15" t="s">
        <v>92</v>
      </c>
      <c r="L3" s="15" t="s">
        <v>93</v>
      </c>
      <c r="M3" s="15" t="s">
        <v>82</v>
      </c>
      <c r="N3" s="15" t="s">
        <v>94</v>
      </c>
      <c r="O3" s="15" t="s">
        <v>83</v>
      </c>
      <c r="P3" s="16" t="s">
        <v>95</v>
      </c>
      <c r="Q3" s="15" t="s">
        <v>84</v>
      </c>
      <c r="R3" s="16" t="s">
        <v>95</v>
      </c>
      <c r="S3" s="15" t="s">
        <v>85</v>
      </c>
      <c r="T3" s="16" t="s">
        <v>95</v>
      </c>
    </row>
    <row r="4" spans="1:20" ht="30" customHeight="1" x14ac:dyDescent="0.2">
      <c r="A4" s="18" t="str">
        <f>'Orcamento - Access'!A2</f>
        <v>0569.7P63</v>
      </c>
      <c r="B4" s="18" t="str">
        <f>'Orcamento - Access'!B2</f>
        <v>Prestação Jurisdicional na Justiça Federal / Aquisição de Edifício-Sede do TRF da 3ª Região em São Paulo</v>
      </c>
      <c r="C4" s="18" t="str">
        <f>'Orcamento - Access'!C2</f>
        <v>02.122</v>
      </c>
      <c r="D4" s="18" t="str">
        <f>'Orcamento - Access'!D2</f>
        <v>F</v>
      </c>
      <c r="E4" s="18" t="str">
        <f>'Orcamento - Access'!E2</f>
        <v>5</v>
      </c>
      <c r="F4" s="18" t="str">
        <f>'Orcamento - Access'!F2</f>
        <v>100</v>
      </c>
      <c r="G4" s="19">
        <f>'Orcamento - Access'!G2</f>
        <v>15036428</v>
      </c>
      <c r="H4" s="19">
        <f>'Orcamento - Access'!H2</f>
        <v>0</v>
      </c>
      <c r="I4" s="19">
        <f>'Orcamento - Access'!I2</f>
        <v>-15036428</v>
      </c>
      <c r="J4" s="19">
        <f>'Orcamento - Access'!J2</f>
        <v>0</v>
      </c>
      <c r="K4" s="19">
        <f>'Orcamento - Access'!K2</f>
        <v>0</v>
      </c>
      <c r="L4" s="19">
        <f>'Orcamento - Access'!L2</f>
        <v>0</v>
      </c>
      <c r="M4" s="19">
        <f>'Orcamento - Access'!M2</f>
        <v>0</v>
      </c>
      <c r="N4" s="19">
        <f>'Orcamento - Access'!N2</f>
        <v>0</v>
      </c>
      <c r="O4" s="19">
        <f>'Orcamento - Access'!R2</f>
        <v>0</v>
      </c>
      <c r="P4" s="20">
        <f>'Orcamento - Access'!S2</f>
        <v>0</v>
      </c>
      <c r="Q4" s="19">
        <f>'Orcamento - Access'!W2</f>
        <v>0</v>
      </c>
      <c r="R4" s="20">
        <f>'Orcamento - Access'!X2</f>
        <v>0</v>
      </c>
      <c r="S4" s="19">
        <f>'Orcamento - Access'!AA2</f>
        <v>0</v>
      </c>
      <c r="T4" s="20">
        <f>'Orcamento - Access'!AB2</f>
        <v>0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 - Pessoal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1</v>
      </c>
      <c r="F5" s="18" t="str">
        <f>'Orcamento - Access'!F3</f>
        <v>100</v>
      </c>
      <c r="G5" s="19">
        <f>'Orcamento - Access'!G3</f>
        <v>273726567</v>
      </c>
      <c r="H5" s="19">
        <f>'Orcamento - Access'!H3</f>
        <v>11941726</v>
      </c>
      <c r="I5" s="19">
        <f>'Orcamento - Access'!I3</f>
        <v>0</v>
      </c>
      <c r="J5" s="19">
        <f>'Orcamento - Access'!J3</f>
        <v>0</v>
      </c>
      <c r="K5" s="19">
        <f>'Orcamento - Access'!K3</f>
        <v>285668293</v>
      </c>
      <c r="L5" s="19">
        <f>'Orcamento - Access'!L3</f>
        <v>0</v>
      </c>
      <c r="M5" s="19">
        <f>'Orcamento - Access'!M3</f>
        <v>0</v>
      </c>
      <c r="N5" s="19">
        <f>'Orcamento - Access'!N3</f>
        <v>285668293</v>
      </c>
      <c r="O5" s="19">
        <f>'Orcamento - Access'!R3</f>
        <v>285592981.95999998</v>
      </c>
      <c r="P5" s="20">
        <f>'Orcamento - Access'!S3</f>
        <v>0.99970000000000003</v>
      </c>
      <c r="Q5" s="19">
        <f>'Orcamento - Access'!W3</f>
        <v>284743513.57999998</v>
      </c>
      <c r="R5" s="20">
        <f>'Orcamento - Access'!X3</f>
        <v>0.99680000000000002</v>
      </c>
      <c r="S5" s="19">
        <f>'Orcamento - Access'!AA3</f>
        <v>283878829.39999998</v>
      </c>
      <c r="T5" s="20">
        <f>'Orcamento - Access'!AB3</f>
        <v>0.99370000000000003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3</v>
      </c>
      <c r="F6" s="18" t="str">
        <f>'Orcamento - Access'!F4</f>
        <v>100</v>
      </c>
      <c r="G6" s="19">
        <f>'Orcamento - Access'!G4</f>
        <v>29730398</v>
      </c>
      <c r="H6" s="19">
        <f>'Orcamento - Access'!H4</f>
        <v>1394841</v>
      </c>
      <c r="I6" s="19">
        <f>'Orcamento - Access'!I4</f>
        <v>-706261</v>
      </c>
      <c r="J6" s="19">
        <f>'Orcamento - Access'!J4</f>
        <v>-688035</v>
      </c>
      <c r="K6" s="19">
        <f>'Orcamento - Access'!K4</f>
        <v>29730943</v>
      </c>
      <c r="L6" s="19">
        <f>'Orcamento - Access'!L4</f>
        <v>0</v>
      </c>
      <c r="M6" s="19">
        <f>'Orcamento - Access'!M4</f>
        <v>0</v>
      </c>
      <c r="N6" s="19">
        <f>'Orcamento - Access'!N4</f>
        <v>29730943</v>
      </c>
      <c r="O6" s="19">
        <f>'Orcamento - Access'!R4</f>
        <v>29682787.260000002</v>
      </c>
      <c r="P6" s="20">
        <f>'Orcamento - Access'!S4</f>
        <v>0.99839999999999995</v>
      </c>
      <c r="Q6" s="19">
        <f>'Orcamento - Access'!W4</f>
        <v>24033251.91</v>
      </c>
      <c r="R6" s="20">
        <f>'Orcamento - Access'!X4</f>
        <v>0.80840000000000001</v>
      </c>
      <c r="S6" s="19">
        <f>'Orcamento - Access'!AA4</f>
        <v>24033251.91</v>
      </c>
      <c r="T6" s="20">
        <f>'Orcamento - Access'!AB4</f>
        <v>0.80840000000000001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6865656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6865656</v>
      </c>
      <c r="L7" s="19">
        <f>'Orcamento - Access'!L5</f>
        <v>0</v>
      </c>
      <c r="M7" s="19">
        <f>'Orcamento - Access'!M5</f>
        <v>0</v>
      </c>
      <c r="N7" s="19">
        <f>'Orcamento - Access'!N5</f>
        <v>6865656</v>
      </c>
      <c r="O7" s="19">
        <f>'Orcamento - Access'!R5</f>
        <v>6839488.4900000002</v>
      </c>
      <c r="P7" s="20">
        <f>'Orcamento - Access'!S5</f>
        <v>0.99619999999999997</v>
      </c>
      <c r="Q7" s="19">
        <f>'Orcamento - Access'!W5</f>
        <v>4638372.05</v>
      </c>
      <c r="R7" s="20">
        <f>'Orcamento - Access'!X5</f>
        <v>0.67559999999999998</v>
      </c>
      <c r="S7" s="19">
        <f>'Orcamento - Access'!AA5</f>
        <v>4638372.05</v>
      </c>
      <c r="T7" s="20">
        <f>'Orcamento - Access'!AB5</f>
        <v>0.67559999999999998</v>
      </c>
    </row>
    <row r="8" spans="1:20" ht="30" customHeight="1" x14ac:dyDescent="0.2">
      <c r="A8" s="18" t="str">
        <f>'Orcamento - Access'!A6</f>
        <v>0569.4257</v>
      </c>
      <c r="B8" s="18" t="str">
        <f>'Orcamento - Access'!B6</f>
        <v>Prestação Jurisdicional na Justiça Federal / Julgamento de Causas - Custeio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4</v>
      </c>
      <c r="F8" s="18" t="str">
        <f>'Orcamento - Access'!F6</f>
        <v>100</v>
      </c>
      <c r="G8" s="19">
        <f>'Orcamento - Access'!G6</f>
        <v>3198564</v>
      </c>
      <c r="H8" s="19">
        <f>'Orcamento - Access'!H6</f>
        <v>2908961</v>
      </c>
      <c r="I8" s="19">
        <f>'Orcamento - Access'!I6</f>
        <v>-1330955</v>
      </c>
      <c r="J8" s="19">
        <f>'Orcamento - Access'!J6</f>
        <v>0</v>
      </c>
      <c r="K8" s="19">
        <f>'Orcamento - Access'!K6</f>
        <v>4776570</v>
      </c>
      <c r="L8" s="19">
        <f>'Orcamento - Access'!L6</f>
        <v>0</v>
      </c>
      <c r="M8" s="19">
        <f>'Orcamento - Access'!M6</f>
        <v>0</v>
      </c>
      <c r="N8" s="19">
        <f>'Orcamento - Access'!N6</f>
        <v>4776570</v>
      </c>
      <c r="O8" s="19">
        <f>'Orcamento - Access'!R6</f>
        <v>4772873.57</v>
      </c>
      <c r="P8" s="20">
        <f>'Orcamento - Access'!S6</f>
        <v>0.99919999999999998</v>
      </c>
      <c r="Q8" s="19">
        <f>'Orcamento - Access'!W6</f>
        <v>1768872.17</v>
      </c>
      <c r="R8" s="20">
        <f>'Orcamento - Access'!X6</f>
        <v>0.37030000000000002</v>
      </c>
      <c r="S8" s="19">
        <f>'Orcamento - Access'!AA6</f>
        <v>1768872.17</v>
      </c>
      <c r="T8" s="20">
        <f>'Orcamento - Access'!AB6</f>
        <v>0.37030000000000002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3034977</v>
      </c>
      <c r="H9" s="19">
        <f>'Orcamento - Access'!H7</f>
        <v>0</v>
      </c>
      <c r="I9" s="19">
        <f>'Orcamento - Access'!I7</f>
        <v>-900000</v>
      </c>
      <c r="J9" s="19">
        <f>'Orcamento - Access'!J7</f>
        <v>-705000</v>
      </c>
      <c r="K9" s="19">
        <f>'Orcamento - Access'!K7</f>
        <v>1429977</v>
      </c>
      <c r="L9" s="19">
        <f>'Orcamento - Access'!L7</f>
        <v>0</v>
      </c>
      <c r="M9" s="19">
        <f>'Orcamento - Access'!M7</f>
        <v>0</v>
      </c>
      <c r="N9" s="19">
        <f>'Orcamento - Access'!N7</f>
        <v>1429977</v>
      </c>
      <c r="O9" s="19">
        <f>'Orcamento - Access'!R7</f>
        <v>1397484.04</v>
      </c>
      <c r="P9" s="20">
        <f>'Orcamento - Access'!S7</f>
        <v>0.97729999999999995</v>
      </c>
      <c r="Q9" s="19">
        <f>'Orcamento - Access'!W7</f>
        <v>1203448.53</v>
      </c>
      <c r="R9" s="20">
        <f>'Orcamento - Access'!X7</f>
        <v>0.84160000000000001</v>
      </c>
      <c r="S9" s="19">
        <f>'Orcamento - Access'!AA7</f>
        <v>1203448.53</v>
      </c>
      <c r="T9" s="20">
        <f>'Orcamento - Access'!AB7</f>
        <v>0.84160000000000001</v>
      </c>
    </row>
    <row r="10" spans="1:20" ht="30" customHeight="1" x14ac:dyDescent="0.2">
      <c r="A10" s="18" t="str">
        <f>'Orcamento - Access'!A8</f>
        <v>0569.3757</v>
      </c>
      <c r="B10" s="18" t="str">
        <f>'Orcamento - Access'!B8</f>
        <v>Prestação Jurisdicional na Justiça Federal / Impl. de Sist. Integ. de Gestão de Inform. Jurisd.</v>
      </c>
      <c r="C10" s="18" t="str">
        <f>'Orcamento - Access'!C8</f>
        <v>02.126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2918263</v>
      </c>
      <c r="M10" s="19">
        <f>'Orcamento - Access'!M8</f>
        <v>0</v>
      </c>
      <c r="N10" s="19">
        <f>'Orcamento - Access'!N8</f>
        <v>2918263</v>
      </c>
      <c r="O10" s="19">
        <f>'Orcamento - Access'!R8</f>
        <v>2917734</v>
      </c>
      <c r="P10" s="20">
        <f>'Orcamento - Access'!S8</f>
        <v>0.99980000000000002</v>
      </c>
      <c r="Q10" s="19">
        <f>'Orcamento - Access'!W8</f>
        <v>1583184</v>
      </c>
      <c r="R10" s="20">
        <f>'Orcamento - Access'!X8</f>
        <v>0.54249999999999998</v>
      </c>
      <c r="S10" s="19">
        <f>'Orcamento - Access'!AA8</f>
        <v>1583184</v>
      </c>
      <c r="T10" s="20">
        <f>'Orcamento - Access'!AB8</f>
        <v>0.54249999999999998</v>
      </c>
    </row>
    <row r="11" spans="1:20" ht="30" customHeight="1" x14ac:dyDescent="0.2">
      <c r="A11" s="18" t="str">
        <f>'Orcamento - Access'!A9</f>
        <v>0569.3757</v>
      </c>
      <c r="B11" s="18" t="str">
        <f>'Orcamento - Access'!B9</f>
        <v>Prestação Jurisdicional na Justiça Federal / Impl. de Sist. Integ. de Gestão de Inform. Jurisd.</v>
      </c>
      <c r="C11" s="18" t="str">
        <f>'Orcamento - Access'!C9</f>
        <v>02.126</v>
      </c>
      <c r="D11" s="18" t="str">
        <f>'Orcamento - Access'!D9</f>
        <v>F</v>
      </c>
      <c r="E11" s="18" t="str">
        <f>'Orcamento - Access'!E9</f>
        <v>4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5377218</v>
      </c>
      <c r="M11" s="19">
        <f>'Orcamento - Access'!M9</f>
        <v>0</v>
      </c>
      <c r="N11" s="19">
        <f>'Orcamento - Access'!N9</f>
        <v>5377218</v>
      </c>
      <c r="O11" s="19">
        <f>'Orcamento - Access'!R9</f>
        <v>5375092</v>
      </c>
      <c r="P11" s="20">
        <f>'Orcamento - Access'!S9</f>
        <v>0.99960000000000004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0569.3600</v>
      </c>
      <c r="B12" s="18" t="str">
        <f>'Orcamento - Access'!B10</f>
        <v>Prestação Jurisdicional na Justiça Federal / Reforma do Edifício Sede do TRF da 3ª Região em São Paulo - SP</v>
      </c>
      <c r="C12" s="18" t="str">
        <f>'Orcamento - Access'!C10</f>
        <v>02.122</v>
      </c>
      <c r="D12" s="18" t="str">
        <f>'Orcamento - Access'!D10</f>
        <v>F</v>
      </c>
      <c r="E12" s="18" t="str">
        <f>'Orcamento - Access'!E10</f>
        <v>4</v>
      </c>
      <c r="F12" s="18" t="str">
        <f>'Orcamento - Access'!F10</f>
        <v>100</v>
      </c>
      <c r="G12" s="19">
        <f>'Orcamento - Access'!G10</f>
        <v>5000000</v>
      </c>
      <c r="H12" s="19">
        <f>'Orcamento - Access'!H10</f>
        <v>1219000</v>
      </c>
      <c r="I12" s="19">
        <f>'Orcamento - Access'!I10</f>
        <v>0</v>
      </c>
      <c r="J12" s="19">
        <f>'Orcamento - Access'!J10</f>
        <v>-323230</v>
      </c>
      <c r="K12" s="19">
        <f>'Orcamento - Access'!K10</f>
        <v>5895770</v>
      </c>
      <c r="L12" s="19">
        <f>'Orcamento - Access'!L10</f>
        <v>0</v>
      </c>
      <c r="M12" s="19">
        <f>'Orcamento - Access'!M10</f>
        <v>0</v>
      </c>
      <c r="N12" s="19">
        <f>'Orcamento - Access'!N10</f>
        <v>5895770</v>
      </c>
      <c r="O12" s="19">
        <f>'Orcamento - Access'!R10</f>
        <v>5895769.0700000003</v>
      </c>
      <c r="P12" s="20">
        <f>'Orcamento - Access'!S10</f>
        <v>1</v>
      </c>
      <c r="Q12" s="19">
        <f>'Orcamento - Access'!W10</f>
        <v>67569.19</v>
      </c>
      <c r="R12" s="20">
        <f>'Orcamento - Access'!X10</f>
        <v>1.15E-2</v>
      </c>
      <c r="S12" s="19">
        <f>'Orcamento - Access'!AA10</f>
        <v>67569.19</v>
      </c>
      <c r="T12" s="20">
        <f>'Orcamento - Access'!AB10</f>
        <v>1.15E-2</v>
      </c>
    </row>
    <row r="13" spans="1:20" ht="30" customHeight="1" x14ac:dyDescent="0.2">
      <c r="A13" s="18" t="str">
        <f>'Orcamento - Access'!A11</f>
        <v>0569.2012</v>
      </c>
      <c r="B13" s="18" t="str">
        <f>'Orcamento - Access'!B11</f>
        <v>Prestação Jurisdicional na Justiça Federal / Auxílio Alimentação aos Servid. E Empreg.</v>
      </c>
      <c r="C13" s="18" t="str">
        <f>'Orcamento - Access'!C11</f>
        <v>02.306</v>
      </c>
      <c r="D13" s="18" t="str">
        <f>'Orcamento - Access'!D11</f>
        <v>F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13978440</v>
      </c>
      <c r="H13" s="19">
        <f>'Orcamento - Access'!H11</f>
        <v>25429</v>
      </c>
      <c r="I13" s="19">
        <f>'Orcamento - Access'!I11</f>
        <v>0</v>
      </c>
      <c r="J13" s="19">
        <f>'Orcamento - Access'!J11</f>
        <v>0</v>
      </c>
      <c r="K13" s="19">
        <f>'Orcamento - Access'!K11</f>
        <v>14003869</v>
      </c>
      <c r="L13" s="19">
        <f>'Orcamento - Access'!L11</f>
        <v>0</v>
      </c>
      <c r="M13" s="19">
        <f>'Orcamento - Access'!M11</f>
        <v>0</v>
      </c>
      <c r="N13" s="19">
        <f>'Orcamento - Access'!N11</f>
        <v>14003869</v>
      </c>
      <c r="O13" s="19">
        <f>'Orcamento - Access'!R11</f>
        <v>14003869</v>
      </c>
      <c r="P13" s="20">
        <f>'Orcamento - Access'!S11</f>
        <v>1</v>
      </c>
      <c r="Q13" s="19">
        <f>'Orcamento - Access'!W11</f>
        <v>13959739</v>
      </c>
      <c r="R13" s="20">
        <f>'Orcamento - Access'!X11</f>
        <v>0.99680000000000002</v>
      </c>
      <c r="S13" s="19">
        <f>'Orcamento - Access'!AA11</f>
        <v>13959739</v>
      </c>
      <c r="T13" s="20">
        <f>'Orcamento - Access'!AB11</f>
        <v>0.99680000000000002</v>
      </c>
    </row>
    <row r="14" spans="1:20" ht="30" customHeight="1" x14ac:dyDescent="0.2">
      <c r="A14" s="18" t="str">
        <f>'Orcamento - Access'!A12</f>
        <v>0569.2011</v>
      </c>
      <c r="B14" s="18" t="str">
        <f>'Orcamento - Access'!B12</f>
        <v>Prestação Jurisdicional na Justiça Federal / Auxílo Transporte aos Servidores e Empreg.</v>
      </c>
      <c r="C14" s="18" t="str">
        <f>'Orcamento - Access'!C12</f>
        <v>02.331</v>
      </c>
      <c r="D14" s="18" t="str">
        <f>'Orcamento - Access'!D12</f>
        <v>F</v>
      </c>
      <c r="E14" s="18" t="str">
        <f>'Orcamento - Access'!E12</f>
        <v>3</v>
      </c>
      <c r="F14" s="18" t="str">
        <f>'Orcamento - Access'!F12</f>
        <v>100</v>
      </c>
      <c r="G14" s="19">
        <f>'Orcamento - Access'!G12</f>
        <v>836000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836000</v>
      </c>
      <c r="L14" s="19">
        <f>'Orcamento - Access'!L12</f>
        <v>0</v>
      </c>
      <c r="M14" s="19">
        <f>'Orcamento - Access'!M12</f>
        <v>0</v>
      </c>
      <c r="N14" s="19">
        <f>'Orcamento - Access'!N12</f>
        <v>836000</v>
      </c>
      <c r="O14" s="19">
        <f>'Orcamento - Access'!R12</f>
        <v>836000</v>
      </c>
      <c r="P14" s="20">
        <f>'Orcamento - Access'!S12</f>
        <v>1</v>
      </c>
      <c r="Q14" s="19">
        <f>'Orcamento - Access'!W12</f>
        <v>658766.68000000005</v>
      </c>
      <c r="R14" s="20">
        <f>'Orcamento - Access'!X12</f>
        <v>0.78800000000000003</v>
      </c>
      <c r="S14" s="19">
        <f>'Orcamento - Access'!AA12</f>
        <v>658766.68000000005</v>
      </c>
      <c r="T14" s="20">
        <f>'Orcamento - Access'!AB12</f>
        <v>0.78800000000000003</v>
      </c>
    </row>
    <row r="15" spans="1:20" ht="30" customHeight="1" x14ac:dyDescent="0.2">
      <c r="A15" s="18" t="str">
        <f>'Orcamento - Access'!A13</f>
        <v>0569.2010</v>
      </c>
      <c r="B15" s="18" t="str">
        <f>'Orcamento - Access'!B13</f>
        <v>Prestação Jurisdicional na Justiça Federal / Assist. Pré-Escolar aos Dep. dos Serv e Emp.</v>
      </c>
      <c r="C15" s="18" t="str">
        <f>'Orcamento - Access'!C13</f>
        <v>02.365</v>
      </c>
      <c r="D15" s="18" t="str">
        <f>'Orcamento - Access'!D13</f>
        <v>F</v>
      </c>
      <c r="E15" s="18" t="str">
        <f>'Orcamento - Access'!E13</f>
        <v>3</v>
      </c>
      <c r="F15" s="18" t="str">
        <f>'Orcamento - Access'!F13</f>
        <v>100</v>
      </c>
      <c r="G15" s="19">
        <f>'Orcamento - Access'!G13</f>
        <v>1167600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1167600</v>
      </c>
      <c r="L15" s="19">
        <f>'Orcamento - Access'!L13</f>
        <v>0</v>
      </c>
      <c r="M15" s="19">
        <f>'Orcamento - Access'!M13</f>
        <v>0</v>
      </c>
      <c r="N15" s="19">
        <f>'Orcamento - Access'!N13</f>
        <v>1167600</v>
      </c>
      <c r="O15" s="19">
        <f>'Orcamento - Access'!R13</f>
        <v>1135472.5</v>
      </c>
      <c r="P15" s="20">
        <f>'Orcamento - Access'!S13</f>
        <v>0.97250000000000003</v>
      </c>
      <c r="Q15" s="19">
        <f>'Orcamento - Access'!W13</f>
        <v>1135472.5</v>
      </c>
      <c r="R15" s="20">
        <f>'Orcamento - Access'!X13</f>
        <v>0.97250000000000003</v>
      </c>
      <c r="S15" s="19">
        <f>'Orcamento - Access'!AA13</f>
        <v>1135472.5</v>
      </c>
      <c r="T15" s="20">
        <f>'Orcamento - Access'!AB13</f>
        <v>0.97250000000000003</v>
      </c>
    </row>
    <row r="16" spans="1:20" ht="30" customHeight="1" x14ac:dyDescent="0.2">
      <c r="A16" s="18" t="str">
        <f>'Orcamento - Access'!A14</f>
        <v>0569.2004</v>
      </c>
      <c r="B16" s="18" t="str">
        <f>'Orcamento - Access'!B14</f>
        <v>Prestação Jurisdicional na Justiça Federal / Assist. Médica e Odontol. a Servid. e Empreg.</v>
      </c>
      <c r="C16" s="18" t="str">
        <f>'Orcamento - Access'!C14</f>
        <v>02.301</v>
      </c>
      <c r="D16" s="18" t="str">
        <f>'Orcamento - Access'!D14</f>
        <v>S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10000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10000</v>
      </c>
      <c r="L16" s="19">
        <f>'Orcamento - Access'!L14</f>
        <v>0</v>
      </c>
      <c r="M16" s="19">
        <f>'Orcamento - Access'!M14</f>
        <v>0</v>
      </c>
      <c r="N16" s="19">
        <f>'Orcamento - Access'!N14</f>
        <v>10000</v>
      </c>
      <c r="O16" s="19">
        <f>'Orcamento - Access'!R14</f>
        <v>355</v>
      </c>
      <c r="P16" s="20">
        <f>'Orcamento - Access'!S14</f>
        <v>3.5499999999999997E-2</v>
      </c>
      <c r="Q16" s="19">
        <f>'Orcamento - Access'!W14</f>
        <v>355</v>
      </c>
      <c r="R16" s="20">
        <f>'Orcamento - Access'!X14</f>
        <v>3.5499999999999997E-2</v>
      </c>
      <c r="S16" s="19">
        <f>'Orcamento - Access'!AA14</f>
        <v>355</v>
      </c>
      <c r="T16" s="20">
        <f>'Orcamento - Access'!AB14</f>
        <v>3.5499999999999997E-2</v>
      </c>
    </row>
    <row r="17" spans="1:20" ht="30" customHeight="1" x14ac:dyDescent="0.2">
      <c r="A17" s="18" t="str">
        <f>'Orcamento - Access'!A15</f>
        <v>0569.2004</v>
      </c>
      <c r="B17" s="18" t="str">
        <f>'Orcamento - Access'!B15</f>
        <v>Prestação Jurisdicional na Justiça Federal / Assist. Médica e Odontol. a Servid. e Empreg.</v>
      </c>
      <c r="C17" s="18" t="str">
        <f>'Orcamento - Access'!C15</f>
        <v>02.301</v>
      </c>
      <c r="D17" s="18" t="str">
        <f>'Orcamento - Access'!D15</f>
        <v>S</v>
      </c>
      <c r="E17" s="18" t="str">
        <f>'Orcamento - Access'!E15</f>
        <v>3</v>
      </c>
      <c r="F17" s="18" t="str">
        <f>'Orcamento - Access'!F15</f>
        <v>100</v>
      </c>
      <c r="G17" s="19">
        <f>'Orcamento - Access'!G15</f>
        <v>4991480</v>
      </c>
      <c r="H17" s="19">
        <f>'Orcamento - Access'!H15</f>
        <v>387038</v>
      </c>
      <c r="I17" s="19">
        <f>'Orcamento - Access'!I15</f>
        <v>0</v>
      </c>
      <c r="J17" s="19">
        <f>'Orcamento - Access'!J15</f>
        <v>0</v>
      </c>
      <c r="K17" s="19">
        <f>'Orcamento - Access'!K15</f>
        <v>5378518</v>
      </c>
      <c r="L17" s="19">
        <f>'Orcamento - Access'!L15</f>
        <v>0</v>
      </c>
      <c r="M17" s="19">
        <f>'Orcamento - Access'!M15</f>
        <v>0</v>
      </c>
      <c r="N17" s="19">
        <f>'Orcamento - Access'!N15</f>
        <v>5378518</v>
      </c>
      <c r="O17" s="19">
        <f>'Orcamento - Access'!R15</f>
        <v>5378518</v>
      </c>
      <c r="P17" s="20">
        <f>'Orcamento - Access'!S15</f>
        <v>1</v>
      </c>
      <c r="Q17" s="19">
        <f>'Orcamento - Access'!W15</f>
        <v>5144998.49</v>
      </c>
      <c r="R17" s="20">
        <f>'Orcamento - Access'!X15</f>
        <v>0.95660000000000001</v>
      </c>
      <c r="S17" s="19">
        <f>'Orcamento - Access'!AA15</f>
        <v>5144998.49</v>
      </c>
      <c r="T17" s="20">
        <f>'Orcamento - Access'!AB15</f>
        <v>0.95660000000000001</v>
      </c>
    </row>
    <row r="18" spans="1:20" ht="30" customHeight="1" x14ac:dyDescent="0.2">
      <c r="A18" s="18" t="str">
        <f>'Orcamento - Access'!A16</f>
        <v>0569.12OV</v>
      </c>
      <c r="B18" s="18" t="str">
        <f>'Orcamento - Access'!B16</f>
        <v>Prestação Jurisdicional na Justiça Federal / Aquisição de Imóveis para Funcionamento do TRF da 3ª Região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5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20011228</v>
      </c>
      <c r="I18" s="19">
        <f>'Orcamento - Access'!I16</f>
        <v>0</v>
      </c>
      <c r="J18" s="19">
        <f>'Orcamento - Access'!J16</f>
        <v>0</v>
      </c>
      <c r="K18" s="19">
        <f>'Orcamento - Access'!K16</f>
        <v>20011228</v>
      </c>
      <c r="L18" s="19">
        <f>'Orcamento - Access'!L16</f>
        <v>0</v>
      </c>
      <c r="M18" s="19">
        <f>'Orcamento - Access'!M16</f>
        <v>0</v>
      </c>
      <c r="N18" s="19">
        <f>'Orcamento - Access'!N16</f>
        <v>20011228</v>
      </c>
      <c r="O18" s="19">
        <f>'Orcamento - Access'!R16</f>
        <v>0</v>
      </c>
      <c r="P18" s="20">
        <f>'Orcamento - Access'!S16</f>
        <v>0</v>
      </c>
      <c r="Q18" s="19">
        <f>'Orcamento - Access'!W16</f>
        <v>0</v>
      </c>
      <c r="R18" s="20">
        <f>'Orcamento - Access'!X16</f>
        <v>0</v>
      </c>
      <c r="S18" s="19">
        <f>'Orcamento - Access'!AA16</f>
        <v>0</v>
      </c>
      <c r="T18" s="20">
        <f>'Orcamento - Access'!AB16</f>
        <v>0</v>
      </c>
    </row>
    <row r="19" spans="1:20" ht="30" customHeight="1" x14ac:dyDescent="0.2">
      <c r="A19" s="18" t="str">
        <f>'Orcamento - Access'!A17</f>
        <v>0569.1136</v>
      </c>
      <c r="B19" s="18" t="str">
        <f>'Orcamento - Access'!B17</f>
        <v>Prestação Jurisdicional na Justiça Federal / Modernização de Instalações da Justiça Federal no Município de SP</v>
      </c>
      <c r="C19" s="18" t="str">
        <f>'Orcamento - Access'!C17</f>
        <v>02.122</v>
      </c>
      <c r="D19" s="18" t="str">
        <f>'Orcamento - Access'!D17</f>
        <v>F</v>
      </c>
      <c r="E19" s="18" t="str">
        <f>'Orcamento - Access'!E17</f>
        <v>4</v>
      </c>
      <c r="F19" s="18" t="str">
        <f>'Orcamento - Access'!F17</f>
        <v>100</v>
      </c>
      <c r="G19" s="19">
        <f>'Orcamento - Access'!G17</f>
        <v>470000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470000</v>
      </c>
      <c r="L19" s="19">
        <f>'Orcamento - Access'!L17</f>
        <v>0</v>
      </c>
      <c r="M19" s="19">
        <f>'Orcamento - Access'!M17</f>
        <v>0</v>
      </c>
      <c r="N19" s="19">
        <f>'Orcamento - Access'!N17</f>
        <v>470000</v>
      </c>
      <c r="O19" s="19">
        <f>'Orcamento - Access'!R17</f>
        <v>469420.37</v>
      </c>
      <c r="P19" s="20">
        <f>'Orcamento - Access'!S17</f>
        <v>0.99880000000000002</v>
      </c>
      <c r="Q19" s="19">
        <f>'Orcamento - Access'!W17</f>
        <v>301091.05</v>
      </c>
      <c r="R19" s="20">
        <f>'Orcamento - Access'!X17</f>
        <v>0.64059999999999995</v>
      </c>
      <c r="S19" s="19">
        <f>'Orcamento - Access'!AA17</f>
        <v>301091.05</v>
      </c>
      <c r="T19" s="20">
        <f>'Orcamento - Access'!AB17</f>
        <v>0.64059999999999995</v>
      </c>
    </row>
    <row r="20" spans="1:20" ht="30" customHeight="1" x14ac:dyDescent="0.2">
      <c r="A20" s="18" t="str">
        <f>'Orcamento - Access'!A18</f>
        <v>0569.09HB</v>
      </c>
      <c r="B20" s="18" t="str">
        <f>'Orcamento - Access'!B18</f>
        <v>Prestação Jurisdicional na Justiça Federal / Contribuição da União, de suas Autarquias - Nacional</v>
      </c>
      <c r="C20" s="18" t="str">
        <f>'Orcamento - Access'!C18</f>
        <v>02.122</v>
      </c>
      <c r="D20" s="18" t="str">
        <f>'Orcamento - Access'!D18</f>
        <v>F</v>
      </c>
      <c r="E20" s="18" t="str">
        <f>'Orcamento - Access'!E18</f>
        <v>1</v>
      </c>
      <c r="F20" s="18" t="str">
        <f>'Orcamento - Access'!F18</f>
        <v>100</v>
      </c>
      <c r="G20" s="19">
        <f>'Orcamento - Access'!G18</f>
        <v>48683162</v>
      </c>
      <c r="H20" s="19">
        <f>'Orcamento - Access'!H18</f>
        <v>752350</v>
      </c>
      <c r="I20" s="19">
        <f>'Orcamento - Access'!I18</f>
        <v>0</v>
      </c>
      <c r="J20" s="19">
        <f>'Orcamento - Access'!J18</f>
        <v>0</v>
      </c>
      <c r="K20" s="19">
        <f>'Orcamento - Access'!K18</f>
        <v>49435512</v>
      </c>
      <c r="L20" s="19">
        <f>'Orcamento - Access'!L18</f>
        <v>0</v>
      </c>
      <c r="M20" s="19">
        <f>'Orcamento - Access'!M18</f>
        <v>0</v>
      </c>
      <c r="N20" s="19">
        <f>'Orcamento - Access'!N18</f>
        <v>49435512</v>
      </c>
      <c r="O20" s="19">
        <f>'Orcamento - Access'!R18</f>
        <v>49164113.670000002</v>
      </c>
      <c r="P20" s="20">
        <f>'Orcamento - Access'!S18</f>
        <v>0.99450000000000005</v>
      </c>
      <c r="Q20" s="19">
        <f>'Orcamento - Access'!W18</f>
        <v>49152773.060000002</v>
      </c>
      <c r="R20" s="20">
        <f>'Orcamento - Access'!X18</f>
        <v>0.99429999999999996</v>
      </c>
      <c r="S20" s="19">
        <f>'Orcamento - Access'!AA18</f>
        <v>49152773.060000002</v>
      </c>
      <c r="T20" s="20">
        <f>'Orcamento - Access'!AB18</f>
        <v>0.99429999999999996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100</v>
      </c>
      <c r="G21" s="19">
        <f>'Orcamento - Access'!G19</f>
        <v>185118</v>
      </c>
      <c r="H21" s="19">
        <f>'Orcamento - Access'!H19</f>
        <v>4415076</v>
      </c>
      <c r="I21" s="19">
        <f>'Orcamento - Access'!I19</f>
        <v>0</v>
      </c>
      <c r="J21" s="19">
        <f>'Orcamento - Access'!J19</f>
        <v>0</v>
      </c>
      <c r="K21" s="19">
        <f>'Orcamento - Access'!K19</f>
        <v>4600194</v>
      </c>
      <c r="L21" s="19">
        <f>'Orcamento - Access'!L19</f>
        <v>0</v>
      </c>
      <c r="M21" s="19">
        <f>'Orcamento - Access'!M19</f>
        <v>0</v>
      </c>
      <c r="N21" s="19">
        <f>'Orcamento - Access'!N19</f>
        <v>4600194</v>
      </c>
      <c r="O21" s="19">
        <f>'Orcamento - Access'!R19</f>
        <v>4516160.6100000003</v>
      </c>
      <c r="P21" s="20">
        <f>'Orcamento - Access'!S19</f>
        <v>0.98170000000000002</v>
      </c>
      <c r="Q21" s="19">
        <f>'Orcamento - Access'!W19</f>
        <v>4510990.8</v>
      </c>
      <c r="R21" s="20">
        <f>'Orcamento - Access'!X19</f>
        <v>0.98060000000000003</v>
      </c>
      <c r="S21" s="19">
        <f>'Orcamento - Access'!AA19</f>
        <v>4404928.17</v>
      </c>
      <c r="T21" s="20">
        <f>'Orcamento - Access'!AB19</f>
        <v>0.95760000000000001</v>
      </c>
    </row>
    <row r="22" spans="1:20" ht="30" customHeight="1" x14ac:dyDescent="0.2">
      <c r="A22" s="18" t="str">
        <f>'Orcamento - Access'!A20</f>
        <v>0089.0396</v>
      </c>
      <c r="B22" s="18" t="str">
        <f>'Orcamento - Access'!B20</f>
        <v>Previdência de Inativos e Pensionistas da União / Pagamento de Aposentadorias e Pensões</v>
      </c>
      <c r="C22" s="18" t="str">
        <f>'Orcamento - Access'!C20</f>
        <v>09.272</v>
      </c>
      <c r="D22" s="18" t="str">
        <f>'Orcamento - Access'!D20</f>
        <v>S</v>
      </c>
      <c r="E22" s="18" t="str">
        <f>'Orcamento - Access'!E20</f>
        <v>1</v>
      </c>
      <c r="F22" s="18" t="str">
        <f>'Orcamento - Access'!F20</f>
        <v>156</v>
      </c>
      <c r="G22" s="19">
        <f>'Orcamento - Access'!G20</f>
        <v>27451826</v>
      </c>
      <c r="H22" s="19">
        <f>'Orcamento - Access'!H20</f>
        <v>0</v>
      </c>
      <c r="I22" s="19">
        <f>'Orcamento - Access'!I20</f>
        <v>0</v>
      </c>
      <c r="J22" s="19">
        <f>'Orcamento - Access'!J20</f>
        <v>0</v>
      </c>
      <c r="K22" s="19">
        <f>'Orcamento - Access'!K20</f>
        <v>27451826</v>
      </c>
      <c r="L22" s="19">
        <f>'Orcamento - Access'!L20</f>
        <v>0</v>
      </c>
      <c r="M22" s="19">
        <f>'Orcamento - Access'!M20</f>
        <v>0</v>
      </c>
      <c r="N22" s="19">
        <f>'Orcamento - Access'!N20</f>
        <v>27451826</v>
      </c>
      <c r="O22" s="19">
        <f>'Orcamento - Access'!R20</f>
        <v>27451826</v>
      </c>
      <c r="P22" s="20">
        <f>'Orcamento - Access'!S20</f>
        <v>1</v>
      </c>
      <c r="Q22" s="19">
        <f>'Orcamento - Access'!W20</f>
        <v>27451826</v>
      </c>
      <c r="R22" s="20">
        <f>'Orcamento - Access'!X20</f>
        <v>1</v>
      </c>
      <c r="S22" s="19">
        <f>'Orcamento - Access'!AA20</f>
        <v>27451826</v>
      </c>
      <c r="T22" s="20">
        <f>'Orcamento - Access'!AB20</f>
        <v>1</v>
      </c>
    </row>
    <row r="23" spans="1:20" ht="30" customHeight="1" x14ac:dyDescent="0.2">
      <c r="A23" s="18" t="str">
        <f>'Orcamento - Access'!A21</f>
        <v>0089.0396</v>
      </c>
      <c r="B23" s="18" t="str">
        <f>'Orcamento - Access'!B21</f>
        <v>Previdência de Inativos e Pensionistas da União / Pagamento de Aposentadorias e Pensões</v>
      </c>
      <c r="C23" s="18" t="str">
        <f>'Orcamento - Access'!C21</f>
        <v>09.272</v>
      </c>
      <c r="D23" s="18" t="str">
        <f>'Orcamento - Access'!D21</f>
        <v>S</v>
      </c>
      <c r="E23" s="18" t="str">
        <f>'Orcamento - Access'!E21</f>
        <v>1</v>
      </c>
      <c r="F23" s="18" t="str">
        <f>'Orcamento - Access'!F21</f>
        <v>169</v>
      </c>
      <c r="G23" s="19">
        <f>'Orcamento - Access'!G21</f>
        <v>9386640</v>
      </c>
      <c r="H23" s="19">
        <f>'Orcamento - Access'!H21</f>
        <v>469443</v>
      </c>
      <c r="I23" s="19">
        <f>'Orcamento - Access'!I21</f>
        <v>0</v>
      </c>
      <c r="J23" s="19">
        <f>'Orcamento - Access'!J21</f>
        <v>0</v>
      </c>
      <c r="K23" s="19">
        <f>'Orcamento - Access'!K21</f>
        <v>9856083</v>
      </c>
      <c r="L23" s="19">
        <f>'Orcamento - Access'!L21</f>
        <v>0</v>
      </c>
      <c r="M23" s="19">
        <f>'Orcamento - Access'!M21</f>
        <v>0</v>
      </c>
      <c r="N23" s="19">
        <f>'Orcamento - Access'!N21</f>
        <v>9856083</v>
      </c>
      <c r="O23" s="19">
        <f>'Orcamento - Access'!R21</f>
        <v>9856083</v>
      </c>
      <c r="P23" s="20">
        <f>'Orcamento - Access'!S21</f>
        <v>1</v>
      </c>
      <c r="Q23" s="19">
        <f>'Orcamento - Access'!W21</f>
        <v>9856083</v>
      </c>
      <c r="R23" s="20">
        <f>'Orcamento - Access'!X21</f>
        <v>1</v>
      </c>
      <c r="S23" s="19">
        <f>'Orcamento - Access'!AA21</f>
        <v>9845139.1199999992</v>
      </c>
      <c r="T23" s="20">
        <f>'Orcamento - Access'!AB21</f>
        <v>0.99890000000000001</v>
      </c>
    </row>
    <row r="24" spans="1:20" x14ac:dyDescent="0.2">
      <c r="A24" s="32"/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  <c r="O24" s="33"/>
      <c r="P24" s="34"/>
      <c r="Q24" s="33"/>
      <c r="R24" s="34"/>
      <c r="S24" s="33"/>
      <c r="T24" s="34"/>
    </row>
    <row r="27" spans="1:20" x14ac:dyDescent="0.2">
      <c r="B27" s="109" t="s">
        <v>113</v>
      </c>
      <c r="C27" s="109"/>
    </row>
    <row r="29" spans="1:20" x14ac:dyDescent="0.2">
      <c r="B29" s="26" t="s">
        <v>117</v>
      </c>
      <c r="C29" s="53">
        <v>475478683.36000001</v>
      </c>
    </row>
    <row r="30" spans="1:20" x14ac:dyDescent="0.2">
      <c r="B30" s="26" t="s">
        <v>160</v>
      </c>
      <c r="C30" s="53">
        <v>404836.64</v>
      </c>
    </row>
    <row r="31" spans="1:20" x14ac:dyDescent="0.2">
      <c r="B31" s="26" t="s">
        <v>97</v>
      </c>
      <c r="C31" s="28">
        <f>SUM(C29:C30)</f>
        <v>475883520</v>
      </c>
    </row>
    <row r="32" spans="1:20" x14ac:dyDescent="0.2">
      <c r="B32" s="26" t="s">
        <v>98</v>
      </c>
      <c r="C32" s="28">
        <f>SUM(N4:N23)</f>
        <v>475883520</v>
      </c>
    </row>
    <row r="35" spans="2:7" x14ac:dyDescent="0.2">
      <c r="B35" s="109" t="s">
        <v>114</v>
      </c>
      <c r="C35" s="109"/>
    </row>
    <row r="37" spans="2:7" x14ac:dyDescent="0.2">
      <c r="B37" s="26" t="s">
        <v>188</v>
      </c>
      <c r="C37" s="53">
        <f>25075721.56+430210307.01</f>
        <v>455286028.56999999</v>
      </c>
      <c r="D37" s="22">
        <f>+C37-C39</f>
        <v>2.9999971389770508E-2</v>
      </c>
      <c r="G37" s="49"/>
    </row>
    <row r="38" spans="2:7" x14ac:dyDescent="0.2">
      <c r="B38" s="26" t="s">
        <v>97</v>
      </c>
      <c r="C38" s="28">
        <f>SUM(C37:C37)</f>
        <v>455286028.56999999</v>
      </c>
    </row>
    <row r="39" spans="2:7" x14ac:dyDescent="0.2">
      <c r="B39" s="26" t="s">
        <v>98</v>
      </c>
      <c r="C39" s="28">
        <f>SUM(O4:O23)</f>
        <v>455286028.54000002</v>
      </c>
    </row>
    <row r="40" spans="2:7" x14ac:dyDescent="0.2">
      <c r="C40" s="52"/>
    </row>
    <row r="41" spans="2:7" x14ac:dyDescent="0.2">
      <c r="C41" s="52"/>
    </row>
    <row r="42" spans="2:7" x14ac:dyDescent="0.2">
      <c r="B42" s="109" t="s">
        <v>115</v>
      </c>
      <c r="C42" s="109"/>
    </row>
    <row r="44" spans="2:7" x14ac:dyDescent="0.2">
      <c r="B44" s="26" t="s">
        <v>189</v>
      </c>
      <c r="C44" s="53">
        <v>430210307.00999999</v>
      </c>
    </row>
    <row r="45" spans="2:7" x14ac:dyDescent="0.2">
      <c r="B45" s="26" t="s">
        <v>98</v>
      </c>
      <c r="C45" s="28">
        <f>SUM(Q4:Q23)</f>
        <v>430210307.01000005</v>
      </c>
    </row>
    <row r="48" spans="2:7" x14ac:dyDescent="0.2">
      <c r="B48" s="109" t="s">
        <v>116</v>
      </c>
      <c r="C48" s="109"/>
    </row>
    <row r="50" spans="2:3" x14ac:dyDescent="0.2">
      <c r="B50" s="26" t="s">
        <v>171</v>
      </c>
      <c r="C50" s="53">
        <v>52417680.460000001</v>
      </c>
    </row>
    <row r="51" spans="2:3" x14ac:dyDescent="0.2">
      <c r="B51" s="26" t="s">
        <v>170</v>
      </c>
      <c r="C51" s="53">
        <v>376810935.86000001</v>
      </c>
    </row>
    <row r="52" spans="2:3" x14ac:dyDescent="0.2">
      <c r="B52" s="26" t="s">
        <v>97</v>
      </c>
      <c r="C52" s="28">
        <f>SUM(C50:C51)</f>
        <v>429228616.31999999</v>
      </c>
    </row>
    <row r="53" spans="2:3" x14ac:dyDescent="0.2">
      <c r="B53" s="26" t="s">
        <v>98</v>
      </c>
      <c r="C53" s="28">
        <f>SUM(S4:S23)</f>
        <v>429228616.32000005</v>
      </c>
    </row>
    <row r="84" spans="1:3" x14ac:dyDescent="0.2">
      <c r="A84" s="119" t="s">
        <v>293</v>
      </c>
      <c r="B84" s="119"/>
      <c r="C84" s="119"/>
    </row>
  </sheetData>
  <mergeCells count="6">
    <mergeCell ref="A84:C84"/>
    <mergeCell ref="B35:C35"/>
    <mergeCell ref="B42:C42"/>
    <mergeCell ref="B48:C48"/>
    <mergeCell ref="A1:T1"/>
    <mergeCell ref="B27:C2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opLeftCell="E16" workbookViewId="0">
      <selection activeCell="I90" sqref="I90"/>
    </sheetView>
  </sheetViews>
  <sheetFormatPr defaultRowHeight="12.75" x14ac:dyDescent="0.2"/>
  <cols>
    <col min="1" max="1" width="8.7109375" customWidth="1"/>
    <col min="2" max="2" width="10.7109375" customWidth="1"/>
    <col min="3" max="3" width="32.42578125" bestFit="1" customWidth="1"/>
    <col min="4" max="4" width="81.140625" bestFit="1" customWidth="1"/>
    <col min="5" max="5" width="12" bestFit="1" customWidth="1"/>
    <col min="6" max="7" width="11" customWidth="1"/>
    <col min="8" max="16" width="12" customWidth="1"/>
    <col min="17" max="17" width="19.28515625" bestFit="1" customWidth="1"/>
  </cols>
  <sheetData>
    <row r="1" spans="1:17" x14ac:dyDescent="0.2">
      <c r="A1" t="s">
        <v>219</v>
      </c>
      <c r="B1" t="s">
        <v>191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96</v>
      </c>
    </row>
    <row r="2" spans="1:17" x14ac:dyDescent="0.2">
      <c r="A2" t="s">
        <v>0</v>
      </c>
      <c r="B2" t="s">
        <v>250</v>
      </c>
      <c r="C2" t="s">
        <v>251</v>
      </c>
      <c r="D2" t="s">
        <v>295</v>
      </c>
      <c r="E2">
        <v>42654343.520000003</v>
      </c>
      <c r="F2">
        <v>27763482.800000001</v>
      </c>
      <c r="G2">
        <v>28224676.600000001</v>
      </c>
      <c r="H2">
        <v>29526699.609999999</v>
      </c>
      <c r="I2">
        <v>28095691.989999998</v>
      </c>
      <c r="J2">
        <v>29503135.870000001</v>
      </c>
      <c r="K2">
        <v>28642764.91</v>
      </c>
      <c r="L2">
        <v>28852487.48</v>
      </c>
      <c r="M2">
        <v>28921794.559999999</v>
      </c>
      <c r="N2">
        <v>28807193.75</v>
      </c>
      <c r="O2">
        <v>45947925.210000001</v>
      </c>
      <c r="P2">
        <v>23408716.969999999</v>
      </c>
      <c r="Q2" t="s">
        <v>373</v>
      </c>
    </row>
    <row r="3" spans="1:17" x14ac:dyDescent="0.2">
      <c r="A3" t="s">
        <v>0</v>
      </c>
      <c r="B3" t="s">
        <v>252</v>
      </c>
      <c r="C3" t="s">
        <v>251</v>
      </c>
      <c r="D3" t="s">
        <v>325</v>
      </c>
      <c r="E3">
        <v>11063941.060000001</v>
      </c>
      <c r="F3">
        <v>7552604.1600000001</v>
      </c>
      <c r="G3">
        <v>7518298.4000000004</v>
      </c>
      <c r="H3">
        <v>7842385.8899999997</v>
      </c>
      <c r="I3">
        <v>7792338.9500000002</v>
      </c>
      <c r="J3">
        <v>7900858.3799999999</v>
      </c>
      <c r="K3">
        <v>8014821.1100000003</v>
      </c>
      <c r="L3">
        <v>7968470.8499999996</v>
      </c>
      <c r="M3">
        <v>8032036.8600000003</v>
      </c>
      <c r="N3">
        <v>8103660.3899999997</v>
      </c>
      <c r="O3">
        <v>12447207.380000001</v>
      </c>
      <c r="P3">
        <v>8274273.5599999996</v>
      </c>
      <c r="Q3" t="s">
        <v>373</v>
      </c>
    </row>
    <row r="4" spans="1:17" x14ac:dyDescent="0.2">
      <c r="A4" t="s">
        <v>0</v>
      </c>
      <c r="B4" t="s">
        <v>253</v>
      </c>
      <c r="C4" t="s">
        <v>251</v>
      </c>
      <c r="D4" t="s">
        <v>304</v>
      </c>
      <c r="E4">
        <v>5315199.38</v>
      </c>
      <c r="F4">
        <v>4971711.67</v>
      </c>
      <c r="G4">
        <v>5060788.33</v>
      </c>
      <c r="H4">
        <v>4865077.22</v>
      </c>
      <c r="I4">
        <v>5046228.2300000004</v>
      </c>
      <c r="J4">
        <v>5219603.3099999996</v>
      </c>
      <c r="K4">
        <v>5127716.76</v>
      </c>
      <c r="L4">
        <v>5173063.82</v>
      </c>
      <c r="M4">
        <v>5192988.5</v>
      </c>
      <c r="N4">
        <v>5205760.87</v>
      </c>
      <c r="O4">
        <v>10838658.029999999</v>
      </c>
      <c r="P4">
        <v>5126043.01</v>
      </c>
      <c r="Q4" t="s">
        <v>373</v>
      </c>
    </row>
    <row r="5" spans="1:17" x14ac:dyDescent="0.2">
      <c r="A5" t="s">
        <v>0</v>
      </c>
      <c r="B5" t="s">
        <v>254</v>
      </c>
      <c r="C5" t="s">
        <v>251</v>
      </c>
      <c r="D5" t="s">
        <v>296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373</v>
      </c>
    </row>
    <row r="6" spans="1:17" x14ac:dyDescent="0.2">
      <c r="A6" t="s">
        <v>255</v>
      </c>
      <c r="B6" t="s">
        <v>256</v>
      </c>
      <c r="C6" t="s">
        <v>257</v>
      </c>
      <c r="D6" t="s">
        <v>319</v>
      </c>
      <c r="E6">
        <v>90455.56</v>
      </c>
      <c r="F6">
        <v>100008.06</v>
      </c>
      <c r="G6">
        <v>127964.69</v>
      </c>
      <c r="H6">
        <v>94029.43</v>
      </c>
      <c r="I6">
        <v>97448.72</v>
      </c>
      <c r="J6">
        <v>99476.800000000003</v>
      </c>
      <c r="K6">
        <v>92071.6</v>
      </c>
      <c r="L6">
        <v>86091.3</v>
      </c>
      <c r="M6">
        <v>101191.67999999999</v>
      </c>
      <c r="N6">
        <v>112709.81</v>
      </c>
      <c r="O6">
        <v>116720.42</v>
      </c>
      <c r="P6">
        <v>132846.82999999999</v>
      </c>
      <c r="Q6" t="s">
        <v>373</v>
      </c>
    </row>
    <row r="7" spans="1:17" x14ac:dyDescent="0.2">
      <c r="A7" t="s">
        <v>255</v>
      </c>
      <c r="B7" t="s">
        <v>258</v>
      </c>
      <c r="C7" t="s">
        <v>257</v>
      </c>
      <c r="D7" t="s">
        <v>323</v>
      </c>
      <c r="E7">
        <v>1611773.2</v>
      </c>
      <c r="F7">
        <v>1662603.27</v>
      </c>
      <c r="G7">
        <v>1621658.07</v>
      </c>
      <c r="H7">
        <v>1611009.31</v>
      </c>
      <c r="I7">
        <v>1607232.7</v>
      </c>
      <c r="J7">
        <v>1596471.96</v>
      </c>
      <c r="K7">
        <v>1593312.98</v>
      </c>
      <c r="L7">
        <v>1634237.95</v>
      </c>
      <c r="M7">
        <v>1597669.45</v>
      </c>
      <c r="N7">
        <v>1627444.21</v>
      </c>
      <c r="O7">
        <v>1613946.92</v>
      </c>
      <c r="P7">
        <v>1622158.18</v>
      </c>
      <c r="Q7" t="s">
        <v>373</v>
      </c>
    </row>
    <row r="8" spans="1:17" x14ac:dyDescent="0.2">
      <c r="A8" t="s">
        <v>255</v>
      </c>
      <c r="B8" t="s">
        <v>259</v>
      </c>
      <c r="C8" t="s">
        <v>257</v>
      </c>
      <c r="D8" t="s">
        <v>322</v>
      </c>
      <c r="E8">
        <v>169857</v>
      </c>
      <c r="F8">
        <v>170556</v>
      </c>
      <c r="G8">
        <v>172653</v>
      </c>
      <c r="H8">
        <v>171954</v>
      </c>
      <c r="I8">
        <v>174750</v>
      </c>
      <c r="J8">
        <v>180342</v>
      </c>
      <c r="K8">
        <v>183837</v>
      </c>
      <c r="L8">
        <v>187332</v>
      </c>
      <c r="M8">
        <v>186633</v>
      </c>
      <c r="N8">
        <v>184536</v>
      </c>
      <c r="O8">
        <v>185934</v>
      </c>
      <c r="P8">
        <v>186633</v>
      </c>
      <c r="Q8" t="s">
        <v>373</v>
      </c>
    </row>
    <row r="9" spans="1:17" x14ac:dyDescent="0.2">
      <c r="A9" t="s">
        <v>255</v>
      </c>
      <c r="B9" t="s">
        <v>260</v>
      </c>
      <c r="C9" t="s">
        <v>257</v>
      </c>
      <c r="D9" t="s">
        <v>324</v>
      </c>
      <c r="E9">
        <v>42787.61</v>
      </c>
      <c r="F9">
        <v>1128376.3999999999</v>
      </c>
      <c r="G9">
        <v>1130960.57</v>
      </c>
      <c r="H9">
        <v>937886.85</v>
      </c>
      <c r="I9">
        <v>932115.84</v>
      </c>
      <c r="J9">
        <v>930176.53</v>
      </c>
      <c r="K9">
        <v>917349.4</v>
      </c>
      <c r="L9">
        <v>914380.6</v>
      </c>
      <c r="M9">
        <v>1122593.81</v>
      </c>
      <c r="N9">
        <v>1030782.4</v>
      </c>
      <c r="O9">
        <v>1038827.1</v>
      </c>
      <c r="P9">
        <v>275747.63</v>
      </c>
      <c r="Q9" t="s">
        <v>373</v>
      </c>
    </row>
    <row r="10" spans="1:17" x14ac:dyDescent="0.2">
      <c r="A10" t="s">
        <v>255</v>
      </c>
      <c r="B10" t="s">
        <v>261</v>
      </c>
      <c r="C10" t="s">
        <v>257</v>
      </c>
      <c r="D10" t="s">
        <v>307</v>
      </c>
      <c r="E10">
        <v>75732.66</v>
      </c>
      <c r="F10">
        <v>149096.73000000001</v>
      </c>
      <c r="G10">
        <v>128431.49</v>
      </c>
      <c r="H10">
        <v>58756.76</v>
      </c>
      <c r="I10">
        <v>189458.88</v>
      </c>
      <c r="J10">
        <v>97615.97</v>
      </c>
      <c r="K10">
        <v>76771.199999999997</v>
      </c>
      <c r="L10">
        <v>79392.639999999999</v>
      </c>
      <c r="M10">
        <v>138601.47</v>
      </c>
      <c r="N10">
        <v>94556.98</v>
      </c>
      <c r="O10">
        <v>270543.15000000002</v>
      </c>
      <c r="P10">
        <v>26483.73</v>
      </c>
      <c r="Q10" t="s">
        <v>373</v>
      </c>
    </row>
    <row r="11" spans="1:17" x14ac:dyDescent="0.2">
      <c r="A11" t="s">
        <v>255</v>
      </c>
      <c r="B11" t="s">
        <v>262</v>
      </c>
      <c r="C11" t="s">
        <v>257</v>
      </c>
      <c r="D11" t="s">
        <v>308</v>
      </c>
      <c r="E11">
        <v>8057.37</v>
      </c>
      <c r="F11">
        <v>27153.34</v>
      </c>
      <c r="G11">
        <v>25416.63</v>
      </c>
      <c r="H11">
        <v>1574.71</v>
      </c>
      <c r="I11">
        <v>42466.92</v>
      </c>
      <c r="J11">
        <v>18845.810000000001</v>
      </c>
      <c r="K11">
        <v>57316.78</v>
      </c>
      <c r="L11">
        <v>26614.11</v>
      </c>
      <c r="M11">
        <v>41920.14</v>
      </c>
      <c r="N11">
        <v>59995.45</v>
      </c>
      <c r="O11">
        <v>82211.16</v>
      </c>
      <c r="P11">
        <v>146863.96</v>
      </c>
      <c r="Q11" t="s">
        <v>373</v>
      </c>
    </row>
    <row r="12" spans="1:17" x14ac:dyDescent="0.2">
      <c r="A12" t="s">
        <v>255</v>
      </c>
      <c r="B12" t="s">
        <v>263</v>
      </c>
      <c r="C12" t="s">
        <v>257</v>
      </c>
      <c r="D12" t="s">
        <v>328</v>
      </c>
      <c r="E12">
        <v>194516.79</v>
      </c>
      <c r="F12">
        <v>207235.47</v>
      </c>
      <c r="G12">
        <v>209290.57</v>
      </c>
      <c r="H12">
        <v>204412.84</v>
      </c>
      <c r="I12">
        <v>209517.08</v>
      </c>
      <c r="J12">
        <v>208296.41</v>
      </c>
      <c r="K12">
        <v>205774.49</v>
      </c>
      <c r="L12">
        <v>205404.63</v>
      </c>
      <c r="M12">
        <v>205256.62</v>
      </c>
      <c r="N12">
        <v>199547.43</v>
      </c>
      <c r="O12">
        <v>199843.24</v>
      </c>
      <c r="P12">
        <v>195774.75</v>
      </c>
      <c r="Q12" t="s">
        <v>373</v>
      </c>
    </row>
    <row r="13" spans="1:17" x14ac:dyDescent="0.2">
      <c r="A13" t="s">
        <v>255</v>
      </c>
      <c r="B13" t="s">
        <v>264</v>
      </c>
      <c r="C13" t="s">
        <v>257</v>
      </c>
      <c r="D13" t="s">
        <v>313</v>
      </c>
      <c r="E13">
        <v>337418</v>
      </c>
      <c r="F13">
        <v>337418</v>
      </c>
      <c r="G13">
        <v>337418</v>
      </c>
      <c r="H13">
        <v>337418</v>
      </c>
      <c r="I13">
        <v>337418</v>
      </c>
      <c r="J13">
        <v>337418</v>
      </c>
      <c r="K13">
        <v>337418</v>
      </c>
      <c r="L13">
        <v>337418</v>
      </c>
      <c r="M13">
        <v>337418</v>
      </c>
      <c r="N13">
        <v>337418</v>
      </c>
      <c r="O13">
        <v>337418</v>
      </c>
      <c r="P13">
        <v>112472.62</v>
      </c>
      <c r="Q13" t="s">
        <v>373</v>
      </c>
    </row>
    <row r="14" spans="1:17" x14ac:dyDescent="0.2">
      <c r="A14" t="s">
        <v>255</v>
      </c>
      <c r="B14" t="s">
        <v>265</v>
      </c>
      <c r="C14" t="s">
        <v>257</v>
      </c>
      <c r="D14" t="s">
        <v>316</v>
      </c>
      <c r="E14">
        <v>0</v>
      </c>
      <c r="F14">
        <v>100408.38</v>
      </c>
      <c r="G14">
        <v>109312.98</v>
      </c>
      <c r="H14">
        <v>132883.98000000001</v>
      </c>
      <c r="I14">
        <v>107462.22</v>
      </c>
      <c r="J14">
        <v>107462.22</v>
      </c>
      <c r="K14">
        <v>105471.78</v>
      </c>
      <c r="L14">
        <v>83995.98</v>
      </c>
      <c r="M14">
        <v>82354.740000000005</v>
      </c>
      <c r="N14">
        <v>89548.26</v>
      </c>
      <c r="O14">
        <v>90351.42</v>
      </c>
      <c r="P14">
        <v>-6255.32</v>
      </c>
      <c r="Q14" t="s">
        <v>373</v>
      </c>
    </row>
    <row r="15" spans="1:17" x14ac:dyDescent="0.2">
      <c r="A15" t="s">
        <v>255</v>
      </c>
      <c r="B15" t="s">
        <v>266</v>
      </c>
      <c r="C15" t="s">
        <v>257</v>
      </c>
      <c r="D15" t="s">
        <v>309</v>
      </c>
      <c r="E15">
        <v>0</v>
      </c>
      <c r="F15">
        <v>294143.99</v>
      </c>
      <c r="G15">
        <v>274867.49</v>
      </c>
      <c r="H15">
        <v>349498.05</v>
      </c>
      <c r="I15">
        <v>238936.3</v>
      </c>
      <c r="J15">
        <v>295105.69</v>
      </c>
      <c r="K15">
        <v>266102.90999999997</v>
      </c>
      <c r="L15">
        <v>280657.33</v>
      </c>
      <c r="M15">
        <v>310979.62</v>
      </c>
      <c r="N15">
        <v>295380.37</v>
      </c>
      <c r="O15">
        <v>291351.96000000002</v>
      </c>
      <c r="P15">
        <v>-15433.7</v>
      </c>
      <c r="Q15" t="s">
        <v>373</v>
      </c>
    </row>
    <row r="16" spans="1:17" x14ac:dyDescent="0.2">
      <c r="A16" t="s">
        <v>255</v>
      </c>
      <c r="B16" t="s">
        <v>267</v>
      </c>
      <c r="C16" t="s">
        <v>257</v>
      </c>
      <c r="D16" t="s">
        <v>310</v>
      </c>
      <c r="E16">
        <v>0</v>
      </c>
      <c r="F16">
        <v>6489.66</v>
      </c>
      <c r="G16">
        <v>7059.9</v>
      </c>
      <c r="H16">
        <v>10925.08</v>
      </c>
      <c r="I16">
        <v>14195.13</v>
      </c>
      <c r="J16">
        <v>3780</v>
      </c>
      <c r="K16">
        <v>7561</v>
      </c>
      <c r="L16">
        <v>31589.79</v>
      </c>
      <c r="M16">
        <v>10734.2</v>
      </c>
      <c r="N16">
        <v>9253.39</v>
      </c>
      <c r="O16">
        <v>23221.71</v>
      </c>
      <c r="P16">
        <v>2003.85</v>
      </c>
      <c r="Q16" t="s">
        <v>373</v>
      </c>
    </row>
    <row r="17" spans="1:17" x14ac:dyDescent="0.2">
      <c r="A17" t="s">
        <v>255</v>
      </c>
      <c r="B17" t="s">
        <v>268</v>
      </c>
      <c r="C17" t="s">
        <v>257</v>
      </c>
      <c r="D17" t="s">
        <v>305</v>
      </c>
      <c r="E17">
        <v>0</v>
      </c>
      <c r="F17">
        <v>143605.81</v>
      </c>
      <c r="G17">
        <v>165414.59</v>
      </c>
      <c r="H17">
        <v>169514.43</v>
      </c>
      <c r="I17">
        <v>198425.89</v>
      </c>
      <c r="J17">
        <v>212086.39999999999</v>
      </c>
      <c r="K17">
        <v>166689.62</v>
      </c>
      <c r="L17">
        <v>244607.17</v>
      </c>
      <c r="M17">
        <v>167787.51</v>
      </c>
      <c r="N17">
        <v>179663.01</v>
      </c>
      <c r="O17">
        <v>185464.95999999999</v>
      </c>
      <c r="P17">
        <v>356122.93</v>
      </c>
      <c r="Q17" t="s">
        <v>373</v>
      </c>
    </row>
    <row r="18" spans="1:17" x14ac:dyDescent="0.2">
      <c r="A18" t="s">
        <v>255</v>
      </c>
      <c r="B18" t="s">
        <v>269</v>
      </c>
      <c r="C18" t="s">
        <v>257</v>
      </c>
      <c r="D18" t="s">
        <v>320</v>
      </c>
      <c r="E18">
        <v>0</v>
      </c>
      <c r="F18">
        <v>68125.06</v>
      </c>
      <c r="G18">
        <v>221814</v>
      </c>
      <c r="H18">
        <v>260080</v>
      </c>
      <c r="I18">
        <v>173320.81</v>
      </c>
      <c r="J18">
        <v>175646.57</v>
      </c>
      <c r="K18">
        <v>98068.96</v>
      </c>
      <c r="L18">
        <v>445759.06</v>
      </c>
      <c r="M18">
        <v>286640.2</v>
      </c>
      <c r="N18">
        <v>317990.90000000002</v>
      </c>
      <c r="O18">
        <v>142113.15</v>
      </c>
      <c r="P18">
        <v>93804.64</v>
      </c>
      <c r="Q18" t="s">
        <v>373</v>
      </c>
    </row>
    <row r="19" spans="1:17" x14ac:dyDescent="0.2">
      <c r="A19" t="s">
        <v>255</v>
      </c>
      <c r="B19" t="s">
        <v>270</v>
      </c>
      <c r="C19" t="s">
        <v>257</v>
      </c>
      <c r="D19" t="s">
        <v>311</v>
      </c>
      <c r="E19">
        <v>0</v>
      </c>
      <c r="F19">
        <v>404283.22</v>
      </c>
      <c r="G19">
        <v>402509.01</v>
      </c>
      <c r="H19">
        <v>411128.04</v>
      </c>
      <c r="I19">
        <v>505262.75</v>
      </c>
      <c r="J19">
        <v>413904.01</v>
      </c>
      <c r="K19">
        <v>424644.29</v>
      </c>
      <c r="L19">
        <v>433284.98</v>
      </c>
      <c r="M19">
        <v>427973.02</v>
      </c>
      <c r="N19">
        <v>424989.86</v>
      </c>
      <c r="O19">
        <v>421154.61</v>
      </c>
      <c r="P19">
        <v>674528.9</v>
      </c>
      <c r="Q19" t="s">
        <v>373</v>
      </c>
    </row>
    <row r="20" spans="1:17" x14ac:dyDescent="0.2">
      <c r="A20" t="s">
        <v>255</v>
      </c>
      <c r="B20" t="s">
        <v>271</v>
      </c>
      <c r="C20" t="s">
        <v>257</v>
      </c>
      <c r="D20" t="s">
        <v>314</v>
      </c>
      <c r="E20">
        <v>0</v>
      </c>
      <c r="F20">
        <v>186238.25</v>
      </c>
      <c r="G20">
        <v>186017.92000000001</v>
      </c>
      <c r="H20">
        <v>0</v>
      </c>
      <c r="I20">
        <v>383628.89</v>
      </c>
      <c r="J20">
        <v>224293.63</v>
      </c>
      <c r="K20">
        <v>195450.63</v>
      </c>
      <c r="L20">
        <v>192640.47</v>
      </c>
      <c r="M20">
        <v>194914.44</v>
      </c>
      <c r="N20">
        <v>206110.35</v>
      </c>
      <c r="O20">
        <v>205905.9</v>
      </c>
      <c r="P20">
        <v>275435.21999999997</v>
      </c>
      <c r="Q20" t="s">
        <v>373</v>
      </c>
    </row>
    <row r="21" spans="1:17" x14ac:dyDescent="0.2">
      <c r="A21" t="s">
        <v>255</v>
      </c>
      <c r="B21" t="s">
        <v>272</v>
      </c>
      <c r="C21" t="s">
        <v>257</v>
      </c>
      <c r="D21" t="s">
        <v>315</v>
      </c>
      <c r="E21">
        <v>0</v>
      </c>
      <c r="F21">
        <v>10021.75</v>
      </c>
      <c r="G21">
        <v>2725.27</v>
      </c>
      <c r="H21">
        <v>174.34</v>
      </c>
      <c r="I21">
        <v>9697.44</v>
      </c>
      <c r="J21">
        <v>5864.8</v>
      </c>
      <c r="K21">
        <v>4856.88</v>
      </c>
      <c r="L21">
        <v>4785.3599999999997</v>
      </c>
      <c r="M21">
        <v>3898.52</v>
      </c>
      <c r="N21">
        <v>8739.9599999999991</v>
      </c>
      <c r="O21">
        <v>7161.44</v>
      </c>
      <c r="P21">
        <v>-9337.0400000000009</v>
      </c>
      <c r="Q21" t="s">
        <v>373</v>
      </c>
    </row>
    <row r="22" spans="1:17" x14ac:dyDescent="0.2">
      <c r="A22" t="s">
        <v>255</v>
      </c>
      <c r="B22" t="s">
        <v>273</v>
      </c>
      <c r="C22" t="s">
        <v>257</v>
      </c>
      <c r="D22" t="s">
        <v>312</v>
      </c>
      <c r="E22">
        <v>0</v>
      </c>
      <c r="F22">
        <v>713033.32</v>
      </c>
      <c r="G22">
        <v>711992.18</v>
      </c>
      <c r="H22">
        <v>710058.31</v>
      </c>
      <c r="I22">
        <v>702493.14</v>
      </c>
      <c r="J22">
        <v>711404.82</v>
      </c>
      <c r="K22">
        <v>510147.49</v>
      </c>
      <c r="L22">
        <v>878774.64</v>
      </c>
      <c r="M22">
        <v>689321.75</v>
      </c>
      <c r="N22">
        <v>726911.92</v>
      </c>
      <c r="O22">
        <v>698914.37</v>
      </c>
      <c r="P22">
        <v>1016849.23</v>
      </c>
      <c r="Q22" t="s">
        <v>373</v>
      </c>
    </row>
    <row r="23" spans="1:17" x14ac:dyDescent="0.2">
      <c r="A23" t="s">
        <v>255</v>
      </c>
      <c r="B23" t="s">
        <v>274</v>
      </c>
      <c r="C23" t="s">
        <v>257</v>
      </c>
      <c r="D23" t="s">
        <v>326</v>
      </c>
      <c r="E23">
        <v>3100</v>
      </c>
      <c r="F23">
        <v>900</v>
      </c>
      <c r="G23">
        <v>7353.05</v>
      </c>
      <c r="H23">
        <v>41781.019999999997</v>
      </c>
      <c r="I23">
        <v>64765.45</v>
      </c>
      <c r="J23">
        <v>75515.520000000004</v>
      </c>
      <c r="K23">
        <v>88607.88</v>
      </c>
      <c r="L23">
        <v>29743.3</v>
      </c>
      <c r="M23">
        <v>257694.01</v>
      </c>
      <c r="N23">
        <v>347395.38</v>
      </c>
      <c r="O23">
        <v>184477.22</v>
      </c>
      <c r="P23">
        <v>494249.71</v>
      </c>
      <c r="Q23" t="s">
        <v>373</v>
      </c>
    </row>
    <row r="24" spans="1:17" x14ac:dyDescent="0.2">
      <c r="A24" t="s">
        <v>255</v>
      </c>
      <c r="B24" t="s">
        <v>275</v>
      </c>
      <c r="C24" t="s">
        <v>257</v>
      </c>
      <c r="D24" t="s">
        <v>327</v>
      </c>
      <c r="E24">
        <v>0</v>
      </c>
      <c r="F24">
        <v>0</v>
      </c>
      <c r="G24">
        <v>2495.77</v>
      </c>
      <c r="H24">
        <v>440.3</v>
      </c>
      <c r="I24">
        <v>0</v>
      </c>
      <c r="J24">
        <v>777.8</v>
      </c>
      <c r="K24">
        <v>0</v>
      </c>
      <c r="L24">
        <v>1423.78</v>
      </c>
      <c r="M24">
        <v>0</v>
      </c>
      <c r="N24">
        <v>380.05</v>
      </c>
      <c r="O24">
        <v>12765.19</v>
      </c>
      <c r="P24">
        <v>-15971.78</v>
      </c>
      <c r="Q24" t="s">
        <v>373</v>
      </c>
    </row>
    <row r="25" spans="1:17" x14ac:dyDescent="0.2">
      <c r="A25" t="s">
        <v>255</v>
      </c>
      <c r="B25" t="s">
        <v>276</v>
      </c>
      <c r="C25" t="s">
        <v>257</v>
      </c>
      <c r="D25" t="s">
        <v>329</v>
      </c>
      <c r="E25">
        <v>0</v>
      </c>
      <c r="F25">
        <v>0</v>
      </c>
      <c r="G25">
        <v>0</v>
      </c>
      <c r="H25">
        <v>2580</v>
      </c>
      <c r="I25">
        <v>0</v>
      </c>
      <c r="J25">
        <v>29007.9</v>
      </c>
      <c r="K25">
        <v>1162</v>
      </c>
      <c r="L25">
        <v>8217</v>
      </c>
      <c r="M25">
        <v>1556</v>
      </c>
      <c r="N25">
        <v>461.5</v>
      </c>
      <c r="O25">
        <v>0</v>
      </c>
      <c r="P25">
        <v>195.98</v>
      </c>
      <c r="Q25" t="s">
        <v>373</v>
      </c>
    </row>
    <row r="26" spans="1:17" x14ac:dyDescent="0.2">
      <c r="A26" t="s">
        <v>255</v>
      </c>
      <c r="B26" t="s">
        <v>277</v>
      </c>
      <c r="C26" t="s">
        <v>257</v>
      </c>
      <c r="D26" t="s">
        <v>331</v>
      </c>
      <c r="E26">
        <v>0</v>
      </c>
      <c r="F26">
        <v>0</v>
      </c>
      <c r="G26">
        <v>15000</v>
      </c>
      <c r="H26">
        <v>358.8</v>
      </c>
      <c r="I26">
        <v>8642</v>
      </c>
      <c r="J26">
        <v>8154.8</v>
      </c>
      <c r="K26">
        <v>2232</v>
      </c>
      <c r="L26">
        <v>0</v>
      </c>
      <c r="M26">
        <v>3234</v>
      </c>
      <c r="N26">
        <v>8926.4</v>
      </c>
      <c r="O26">
        <v>0</v>
      </c>
      <c r="P26">
        <v>7202.72</v>
      </c>
      <c r="Q26" t="s">
        <v>373</v>
      </c>
    </row>
    <row r="27" spans="1:17" x14ac:dyDescent="0.2">
      <c r="A27" t="s">
        <v>255</v>
      </c>
      <c r="B27" t="s">
        <v>278</v>
      </c>
      <c r="C27" t="s">
        <v>257</v>
      </c>
      <c r="D27" t="s">
        <v>317</v>
      </c>
      <c r="E27">
        <v>0</v>
      </c>
      <c r="F27">
        <v>7885.5</v>
      </c>
      <c r="G27">
        <v>13528.02</v>
      </c>
      <c r="H27">
        <v>0</v>
      </c>
      <c r="I27">
        <v>25941.57</v>
      </c>
      <c r="J27">
        <v>15947.66</v>
      </c>
      <c r="K27">
        <v>13473.88</v>
      </c>
      <c r="L27">
        <v>10659.8</v>
      </c>
      <c r="M27">
        <v>14290.29</v>
      </c>
      <c r="N27">
        <v>13872.27</v>
      </c>
      <c r="O27">
        <v>16889.650000000001</v>
      </c>
      <c r="P27">
        <v>25176.71</v>
      </c>
      <c r="Q27" t="s">
        <v>373</v>
      </c>
    </row>
    <row r="28" spans="1:17" x14ac:dyDescent="0.2">
      <c r="A28" t="s">
        <v>255</v>
      </c>
      <c r="B28" t="s">
        <v>279</v>
      </c>
      <c r="C28" t="s">
        <v>257</v>
      </c>
      <c r="D28" t="s">
        <v>321</v>
      </c>
      <c r="E28">
        <v>0</v>
      </c>
      <c r="F28">
        <v>7301.28</v>
      </c>
      <c r="G28">
        <v>14128.62</v>
      </c>
      <c r="H28">
        <v>63013</v>
      </c>
      <c r="I28">
        <v>31686.51</v>
      </c>
      <c r="J28">
        <v>25934.39</v>
      </c>
      <c r="K28">
        <v>22713</v>
      </c>
      <c r="L28">
        <v>27758</v>
      </c>
      <c r="M28">
        <v>27394.400000000001</v>
      </c>
      <c r="N28">
        <v>23313</v>
      </c>
      <c r="O28">
        <v>33781.199999999997</v>
      </c>
      <c r="P28">
        <v>56737.599999999999</v>
      </c>
      <c r="Q28" t="s">
        <v>373</v>
      </c>
    </row>
    <row r="29" spans="1:17" x14ac:dyDescent="0.2">
      <c r="A29" t="s">
        <v>255</v>
      </c>
      <c r="B29" t="s">
        <v>280</v>
      </c>
      <c r="C29" t="s">
        <v>257</v>
      </c>
      <c r="D29" t="s">
        <v>318</v>
      </c>
      <c r="E29">
        <v>0</v>
      </c>
      <c r="F29">
        <v>9730.7000000000007</v>
      </c>
      <c r="G29">
        <v>15518.96</v>
      </c>
      <c r="H29">
        <v>1677.45</v>
      </c>
      <c r="I29">
        <v>22503.43</v>
      </c>
      <c r="J29">
        <v>4277.33</v>
      </c>
      <c r="K29">
        <v>10640.58</v>
      </c>
      <c r="L29">
        <v>7288.67</v>
      </c>
      <c r="M29">
        <v>6746.32</v>
      </c>
      <c r="N29">
        <v>35134.68</v>
      </c>
      <c r="O29">
        <v>6481.63</v>
      </c>
      <c r="P29">
        <v>-452954.55</v>
      </c>
      <c r="Q29" t="s">
        <v>373</v>
      </c>
    </row>
    <row r="30" spans="1:17" x14ac:dyDescent="0.2">
      <c r="A30" t="s">
        <v>255</v>
      </c>
      <c r="B30" t="s">
        <v>281</v>
      </c>
      <c r="C30" t="s">
        <v>257</v>
      </c>
      <c r="D30" t="s">
        <v>297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373</v>
      </c>
    </row>
    <row r="31" spans="1:17" x14ac:dyDescent="0.2">
      <c r="A31" t="s">
        <v>255</v>
      </c>
      <c r="B31" t="s">
        <v>282</v>
      </c>
      <c r="C31" t="s">
        <v>257</v>
      </c>
      <c r="D31" t="s">
        <v>306</v>
      </c>
      <c r="E31">
        <v>707469.22</v>
      </c>
      <c r="F31">
        <v>810088.99</v>
      </c>
      <c r="G31">
        <v>980956.46</v>
      </c>
      <c r="H31">
        <v>767069.99</v>
      </c>
      <c r="I31">
        <v>856934.18</v>
      </c>
      <c r="J31">
        <v>895690.66</v>
      </c>
      <c r="K31">
        <v>882222.38</v>
      </c>
      <c r="L31">
        <v>1070834</v>
      </c>
      <c r="M31">
        <v>994253.39</v>
      </c>
      <c r="N31">
        <v>917443.72</v>
      </c>
      <c r="O31">
        <v>889307.57</v>
      </c>
      <c r="P31">
        <v>855602.19</v>
      </c>
      <c r="Q31" t="s">
        <v>373</v>
      </c>
    </row>
    <row r="32" spans="1:17" x14ac:dyDescent="0.2">
      <c r="A32" t="s">
        <v>24</v>
      </c>
      <c r="B32" t="s">
        <v>283</v>
      </c>
      <c r="C32" t="s">
        <v>284</v>
      </c>
      <c r="D32" t="s">
        <v>298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-30840.85</v>
      </c>
      <c r="Q32" t="s">
        <v>373</v>
      </c>
    </row>
    <row r="33" spans="1:17" x14ac:dyDescent="0.2">
      <c r="A33" t="s">
        <v>24</v>
      </c>
      <c r="B33" t="s">
        <v>285</v>
      </c>
      <c r="C33" t="s">
        <v>284</v>
      </c>
      <c r="D33" t="s">
        <v>299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373</v>
      </c>
    </row>
    <row r="34" spans="1:17" x14ac:dyDescent="0.2">
      <c r="A34" t="s">
        <v>24</v>
      </c>
      <c r="B34" t="s">
        <v>286</v>
      </c>
      <c r="C34" t="s">
        <v>284</v>
      </c>
      <c r="D34" t="s">
        <v>300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3305195</v>
      </c>
      <c r="Q34" t="s">
        <v>373</v>
      </c>
    </row>
    <row r="35" spans="1:17" x14ac:dyDescent="0.2">
      <c r="A35" t="s">
        <v>24</v>
      </c>
      <c r="B35" t="s">
        <v>287</v>
      </c>
      <c r="C35" t="s">
        <v>284</v>
      </c>
      <c r="D35" t="s">
        <v>301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-1088940</v>
      </c>
      <c r="Q35" t="s">
        <v>373</v>
      </c>
    </row>
    <row r="36" spans="1:17" x14ac:dyDescent="0.2">
      <c r="A36" t="s">
        <v>24</v>
      </c>
      <c r="B36" t="s">
        <v>288</v>
      </c>
      <c r="C36" t="s">
        <v>284</v>
      </c>
      <c r="D36" t="s">
        <v>330</v>
      </c>
      <c r="E36">
        <v>0</v>
      </c>
      <c r="F36">
        <v>0</v>
      </c>
      <c r="G36">
        <v>0</v>
      </c>
      <c r="H36">
        <v>624</v>
      </c>
      <c r="I36">
        <v>13926.84</v>
      </c>
      <c r="J36">
        <v>32179.42</v>
      </c>
      <c r="K36">
        <v>5174.34</v>
      </c>
      <c r="L36">
        <v>9010.91</v>
      </c>
      <c r="M36">
        <v>15150</v>
      </c>
      <c r="N36">
        <v>1202.55</v>
      </c>
      <c r="O36">
        <v>0</v>
      </c>
      <c r="P36">
        <v>-1783157.17</v>
      </c>
      <c r="Q36" t="s">
        <v>373</v>
      </c>
    </row>
    <row r="37" spans="1:17" x14ac:dyDescent="0.2">
      <c r="A37" t="s">
        <v>29</v>
      </c>
      <c r="B37" t="s">
        <v>289</v>
      </c>
      <c r="C37" t="s">
        <v>290</v>
      </c>
      <c r="D37" t="s">
        <v>302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373</v>
      </c>
    </row>
    <row r="38" spans="1:17" x14ac:dyDescent="0.2">
      <c r="A38" t="s">
        <v>29</v>
      </c>
      <c r="B38" t="s">
        <v>291</v>
      </c>
      <c r="C38" t="s">
        <v>290</v>
      </c>
      <c r="D38" t="s">
        <v>303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373</v>
      </c>
    </row>
    <row r="84" spans="1:3" x14ac:dyDescent="0.2">
      <c r="A84" s="119" t="s">
        <v>293</v>
      </c>
      <c r="B84" s="119"/>
      <c r="C84" s="119"/>
    </row>
  </sheetData>
  <mergeCells count="1">
    <mergeCell ref="A84:C8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D22" workbookViewId="0">
      <selection activeCell="I90" sqref="I90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bestFit="1" customWidth="1"/>
    <col min="4" max="4" width="81.140625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8.140625" bestFit="1" customWidth="1"/>
  </cols>
  <sheetData>
    <row r="1" spans="1:17" x14ac:dyDescent="0.2">
      <c r="A1" t="s">
        <v>219</v>
      </c>
      <c r="B1" t="s">
        <v>191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96</v>
      </c>
    </row>
    <row r="2" spans="1:17" x14ac:dyDescent="0.2">
      <c r="A2" t="s">
        <v>0</v>
      </c>
      <c r="B2" t="s">
        <v>250</v>
      </c>
      <c r="C2" t="s">
        <v>251</v>
      </c>
      <c r="D2" t="s">
        <v>295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 t="s">
        <v>375</v>
      </c>
    </row>
    <row r="3" spans="1:17" x14ac:dyDescent="0.2">
      <c r="A3" t="s">
        <v>0</v>
      </c>
      <c r="B3" t="s">
        <v>252</v>
      </c>
      <c r="C3" t="s">
        <v>251</v>
      </c>
      <c r="D3" t="s">
        <v>325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 t="s">
        <v>375</v>
      </c>
    </row>
    <row r="4" spans="1:17" x14ac:dyDescent="0.2">
      <c r="A4" t="s">
        <v>0</v>
      </c>
      <c r="B4" t="s">
        <v>253</v>
      </c>
      <c r="C4" t="s">
        <v>251</v>
      </c>
      <c r="D4" t="s">
        <v>304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 t="s">
        <v>375</v>
      </c>
    </row>
    <row r="5" spans="1:17" x14ac:dyDescent="0.2">
      <c r="A5" t="s">
        <v>0</v>
      </c>
      <c r="B5" t="s">
        <v>254</v>
      </c>
      <c r="C5" t="s">
        <v>251</v>
      </c>
      <c r="D5" t="s">
        <v>296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t="s">
        <v>375</v>
      </c>
    </row>
    <row r="6" spans="1:17" x14ac:dyDescent="0.2">
      <c r="A6" t="s">
        <v>255</v>
      </c>
      <c r="B6" t="s">
        <v>256</v>
      </c>
      <c r="C6" t="s">
        <v>257</v>
      </c>
      <c r="D6" t="s">
        <v>319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 t="s">
        <v>375</v>
      </c>
    </row>
    <row r="7" spans="1:17" x14ac:dyDescent="0.2">
      <c r="A7" t="s">
        <v>255</v>
      </c>
      <c r="B7" t="s">
        <v>258</v>
      </c>
      <c r="C7" t="s">
        <v>257</v>
      </c>
      <c r="D7" t="s">
        <v>323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t="s">
        <v>375</v>
      </c>
    </row>
    <row r="8" spans="1:17" x14ac:dyDescent="0.2">
      <c r="A8" t="s">
        <v>255</v>
      </c>
      <c r="B8" t="s">
        <v>259</v>
      </c>
      <c r="C8" t="s">
        <v>257</v>
      </c>
      <c r="D8" t="s">
        <v>322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 t="s">
        <v>375</v>
      </c>
    </row>
    <row r="9" spans="1:17" x14ac:dyDescent="0.2">
      <c r="A9" t="s">
        <v>255</v>
      </c>
      <c r="B9" t="s">
        <v>260</v>
      </c>
      <c r="C9" t="s">
        <v>257</v>
      </c>
      <c r="D9" t="s">
        <v>332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t="s">
        <v>375</v>
      </c>
    </row>
    <row r="10" spans="1:17" x14ac:dyDescent="0.2">
      <c r="A10" t="s">
        <v>255</v>
      </c>
      <c r="B10" t="s">
        <v>261</v>
      </c>
      <c r="C10" t="s">
        <v>257</v>
      </c>
      <c r="D10" t="s">
        <v>307</v>
      </c>
      <c r="E10">
        <v>0</v>
      </c>
      <c r="F10">
        <v>0</v>
      </c>
      <c r="G10">
        <v>1154.22</v>
      </c>
      <c r="H10">
        <v>3265.57</v>
      </c>
      <c r="I10">
        <v>8564.84</v>
      </c>
      <c r="J10">
        <v>5985.21</v>
      </c>
      <c r="K10">
        <v>0</v>
      </c>
      <c r="L10">
        <v>8750</v>
      </c>
      <c r="M10">
        <v>1750</v>
      </c>
      <c r="N10">
        <v>2759.5</v>
      </c>
      <c r="O10">
        <v>9759.5</v>
      </c>
      <c r="P10">
        <v>1210.72</v>
      </c>
      <c r="Q10" t="s">
        <v>374</v>
      </c>
    </row>
    <row r="11" spans="1:17" x14ac:dyDescent="0.2">
      <c r="A11" t="s">
        <v>255</v>
      </c>
      <c r="B11" t="s">
        <v>262</v>
      </c>
      <c r="C11" t="s">
        <v>257</v>
      </c>
      <c r="D11" t="s">
        <v>308</v>
      </c>
      <c r="E11">
        <v>0</v>
      </c>
      <c r="F11">
        <v>0</v>
      </c>
      <c r="G11">
        <v>123.79</v>
      </c>
      <c r="H11">
        <v>0</v>
      </c>
      <c r="I11">
        <v>1543.5</v>
      </c>
      <c r="J11">
        <v>0</v>
      </c>
      <c r="K11">
        <v>8579.69</v>
      </c>
      <c r="L11">
        <v>0</v>
      </c>
      <c r="M11">
        <v>4525.2700000000004</v>
      </c>
      <c r="N11">
        <v>6387.02</v>
      </c>
      <c r="O11">
        <v>7675.24</v>
      </c>
      <c r="P11">
        <v>0</v>
      </c>
      <c r="Q11" t="s">
        <v>374</v>
      </c>
    </row>
    <row r="12" spans="1:17" x14ac:dyDescent="0.2">
      <c r="A12" t="s">
        <v>255</v>
      </c>
      <c r="B12" t="s">
        <v>263</v>
      </c>
      <c r="C12" t="s">
        <v>257</v>
      </c>
      <c r="D12" t="s">
        <v>328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 t="s">
        <v>375</v>
      </c>
    </row>
    <row r="13" spans="1:17" x14ac:dyDescent="0.2">
      <c r="A13" t="s">
        <v>255</v>
      </c>
      <c r="B13" t="s">
        <v>264</v>
      </c>
      <c r="C13" t="s">
        <v>257</v>
      </c>
      <c r="D13" t="s">
        <v>313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t="s">
        <v>375</v>
      </c>
    </row>
    <row r="14" spans="1:17" x14ac:dyDescent="0.2">
      <c r="A14" t="s">
        <v>255</v>
      </c>
      <c r="B14" t="s">
        <v>265</v>
      </c>
      <c r="C14" t="s">
        <v>257</v>
      </c>
      <c r="D14" t="s">
        <v>316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t="s">
        <v>375</v>
      </c>
    </row>
    <row r="15" spans="1:17" x14ac:dyDescent="0.2">
      <c r="A15" t="s">
        <v>255</v>
      </c>
      <c r="B15" t="s">
        <v>266</v>
      </c>
      <c r="C15" t="s">
        <v>257</v>
      </c>
      <c r="D15" t="s">
        <v>309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 t="s">
        <v>375</v>
      </c>
    </row>
    <row r="16" spans="1:17" x14ac:dyDescent="0.2">
      <c r="A16" t="s">
        <v>255</v>
      </c>
      <c r="B16" t="s">
        <v>267</v>
      </c>
      <c r="C16" t="s">
        <v>257</v>
      </c>
      <c r="D16" t="s">
        <v>310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t="s">
        <v>375</v>
      </c>
    </row>
    <row r="17" spans="1:17" x14ac:dyDescent="0.2">
      <c r="A17" t="s">
        <v>255</v>
      </c>
      <c r="B17" t="s">
        <v>268</v>
      </c>
      <c r="C17" t="s">
        <v>257</v>
      </c>
      <c r="D17" t="s">
        <v>305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 t="s">
        <v>375</v>
      </c>
    </row>
    <row r="18" spans="1:17" x14ac:dyDescent="0.2">
      <c r="A18" t="s">
        <v>255</v>
      </c>
      <c r="B18" t="s">
        <v>269</v>
      </c>
      <c r="C18" t="s">
        <v>257</v>
      </c>
      <c r="D18" t="s">
        <v>320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 t="s">
        <v>375</v>
      </c>
    </row>
    <row r="19" spans="1:17" x14ac:dyDescent="0.2">
      <c r="A19" t="s">
        <v>255</v>
      </c>
      <c r="B19" t="s">
        <v>270</v>
      </c>
      <c r="C19" t="s">
        <v>257</v>
      </c>
      <c r="D19" t="s">
        <v>311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 t="s">
        <v>375</v>
      </c>
    </row>
    <row r="20" spans="1:17" x14ac:dyDescent="0.2">
      <c r="A20" t="s">
        <v>255</v>
      </c>
      <c r="B20" t="s">
        <v>271</v>
      </c>
      <c r="C20" t="s">
        <v>257</v>
      </c>
      <c r="D20" t="s">
        <v>314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 t="s">
        <v>375</v>
      </c>
    </row>
    <row r="21" spans="1:17" x14ac:dyDescent="0.2">
      <c r="A21" t="s">
        <v>255</v>
      </c>
      <c r="B21" t="s">
        <v>272</v>
      </c>
      <c r="C21" t="s">
        <v>257</v>
      </c>
      <c r="D21" t="s">
        <v>315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 t="s">
        <v>375</v>
      </c>
    </row>
    <row r="22" spans="1:17" x14ac:dyDescent="0.2">
      <c r="A22" t="s">
        <v>255</v>
      </c>
      <c r="B22" t="s">
        <v>273</v>
      </c>
      <c r="C22" t="s">
        <v>257</v>
      </c>
      <c r="D22" t="s">
        <v>312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 t="s">
        <v>375</v>
      </c>
    </row>
    <row r="23" spans="1:17" x14ac:dyDescent="0.2">
      <c r="A23" t="s">
        <v>255</v>
      </c>
      <c r="B23" t="s">
        <v>274</v>
      </c>
      <c r="C23" t="s">
        <v>257</v>
      </c>
      <c r="D23" t="s">
        <v>326</v>
      </c>
      <c r="E23">
        <v>0</v>
      </c>
      <c r="F23">
        <v>0</v>
      </c>
      <c r="G23">
        <v>0</v>
      </c>
      <c r="H23">
        <v>8277.9500000000007</v>
      </c>
      <c r="I23">
        <v>24524.959999999999</v>
      </c>
      <c r="J23">
        <v>6914.25</v>
      </c>
      <c r="K23">
        <v>6528.9</v>
      </c>
      <c r="L23">
        <v>0</v>
      </c>
      <c r="M23">
        <v>0</v>
      </c>
      <c r="N23">
        <v>17954.05</v>
      </c>
      <c r="O23">
        <v>53891.11</v>
      </c>
      <c r="P23">
        <v>52914.82</v>
      </c>
      <c r="Q23" t="s">
        <v>374</v>
      </c>
    </row>
    <row r="24" spans="1:17" x14ac:dyDescent="0.2">
      <c r="A24" t="s">
        <v>255</v>
      </c>
      <c r="B24" t="s">
        <v>275</v>
      </c>
      <c r="C24" t="s">
        <v>257</v>
      </c>
      <c r="D24" t="s">
        <v>327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t="s">
        <v>375</v>
      </c>
    </row>
    <row r="25" spans="1:17" x14ac:dyDescent="0.2">
      <c r="A25" t="s">
        <v>255</v>
      </c>
      <c r="B25" t="s">
        <v>276</v>
      </c>
      <c r="C25" t="s">
        <v>257</v>
      </c>
      <c r="D25" t="s">
        <v>329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t="s">
        <v>375</v>
      </c>
    </row>
    <row r="26" spans="1:17" x14ac:dyDescent="0.2">
      <c r="A26" t="s">
        <v>255</v>
      </c>
      <c r="B26" t="s">
        <v>277</v>
      </c>
      <c r="C26" t="s">
        <v>257</v>
      </c>
      <c r="D26" t="s">
        <v>331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t="s">
        <v>375</v>
      </c>
    </row>
    <row r="27" spans="1:17" x14ac:dyDescent="0.2">
      <c r="A27" t="s">
        <v>255</v>
      </c>
      <c r="B27" t="s">
        <v>278</v>
      </c>
      <c r="C27" t="s">
        <v>257</v>
      </c>
      <c r="D27" t="s">
        <v>317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 t="s">
        <v>375</v>
      </c>
    </row>
    <row r="28" spans="1:17" x14ac:dyDescent="0.2">
      <c r="A28" t="s">
        <v>255</v>
      </c>
      <c r="B28" t="s">
        <v>279</v>
      </c>
      <c r="C28" t="s">
        <v>257</v>
      </c>
      <c r="D28" t="s">
        <v>321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 t="s">
        <v>375</v>
      </c>
    </row>
    <row r="29" spans="1:17" x14ac:dyDescent="0.2">
      <c r="A29" t="s">
        <v>255</v>
      </c>
      <c r="B29" t="s">
        <v>280</v>
      </c>
      <c r="C29" t="s">
        <v>257</v>
      </c>
      <c r="D29" t="s">
        <v>318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 t="s">
        <v>375</v>
      </c>
    </row>
    <row r="30" spans="1:17" x14ac:dyDescent="0.2">
      <c r="A30" t="s">
        <v>255</v>
      </c>
      <c r="B30" t="s">
        <v>281</v>
      </c>
      <c r="C30" t="s">
        <v>257</v>
      </c>
      <c r="D30" t="s">
        <v>333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t="s">
        <v>375</v>
      </c>
    </row>
    <row r="31" spans="1:17" x14ac:dyDescent="0.2">
      <c r="A31" t="s">
        <v>255</v>
      </c>
      <c r="B31" t="s">
        <v>282</v>
      </c>
      <c r="C31" t="s">
        <v>257</v>
      </c>
      <c r="D31" t="s">
        <v>306</v>
      </c>
      <c r="E31">
        <v>0</v>
      </c>
      <c r="F31">
        <v>0</v>
      </c>
      <c r="G31">
        <v>0</v>
      </c>
      <c r="H31">
        <v>0</v>
      </c>
      <c r="I31">
        <v>0</v>
      </c>
      <c r="J31">
        <v>0.02</v>
      </c>
      <c r="K31">
        <v>0</v>
      </c>
      <c r="L31">
        <v>0</v>
      </c>
      <c r="M31">
        <v>0</v>
      </c>
      <c r="N31">
        <v>0.17</v>
      </c>
      <c r="O31">
        <v>0.06</v>
      </c>
      <c r="P31">
        <v>-0.01</v>
      </c>
      <c r="Q31" t="s">
        <v>374</v>
      </c>
    </row>
    <row r="32" spans="1:17" x14ac:dyDescent="0.2">
      <c r="A32" t="s">
        <v>24</v>
      </c>
      <c r="B32" t="s">
        <v>283</v>
      </c>
      <c r="C32" t="s">
        <v>284</v>
      </c>
      <c r="D32" t="s">
        <v>298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 t="s">
        <v>375</v>
      </c>
    </row>
    <row r="33" spans="1:17" x14ac:dyDescent="0.2">
      <c r="A33" t="s">
        <v>24</v>
      </c>
      <c r="B33" t="s">
        <v>285</v>
      </c>
      <c r="C33" t="s">
        <v>284</v>
      </c>
      <c r="D33" t="s">
        <v>299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t="s">
        <v>375</v>
      </c>
    </row>
    <row r="34" spans="1:17" x14ac:dyDescent="0.2">
      <c r="A34" t="s">
        <v>24</v>
      </c>
      <c r="B34" t="s">
        <v>286</v>
      </c>
      <c r="C34" t="s">
        <v>284</v>
      </c>
      <c r="D34" t="s">
        <v>300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 t="s">
        <v>375</v>
      </c>
    </row>
    <row r="35" spans="1:17" x14ac:dyDescent="0.2">
      <c r="A35" t="s">
        <v>24</v>
      </c>
      <c r="B35" t="s">
        <v>287</v>
      </c>
      <c r="C35" t="s">
        <v>284</v>
      </c>
      <c r="D35" t="s">
        <v>301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 t="s">
        <v>375</v>
      </c>
    </row>
    <row r="36" spans="1:17" x14ac:dyDescent="0.2">
      <c r="A36" t="s">
        <v>24</v>
      </c>
      <c r="B36" t="s">
        <v>288</v>
      </c>
      <c r="C36" t="s">
        <v>284</v>
      </c>
      <c r="D36" t="s">
        <v>330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 t="s">
        <v>375</v>
      </c>
    </row>
    <row r="37" spans="1:17" x14ac:dyDescent="0.2">
      <c r="A37" t="s">
        <v>29</v>
      </c>
      <c r="B37" t="s">
        <v>289</v>
      </c>
      <c r="C37" t="s">
        <v>290</v>
      </c>
      <c r="D37" t="s">
        <v>302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 t="s">
        <v>375</v>
      </c>
    </row>
    <row r="38" spans="1:17" x14ac:dyDescent="0.2">
      <c r="A38" t="s">
        <v>29</v>
      </c>
      <c r="B38" t="s">
        <v>291</v>
      </c>
      <c r="C38" t="s">
        <v>290</v>
      </c>
      <c r="D38" t="s">
        <v>303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 t="s">
        <v>375</v>
      </c>
    </row>
    <row r="40" spans="1:17" x14ac:dyDescent="0.2">
      <c r="G40">
        <f>SUM(G2:G39)</f>
        <v>1278.01</v>
      </c>
      <c r="H40">
        <f>SUM(H2:H39)</f>
        <v>11543.52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C1" zoomScale="85" zoomScaleNormal="85" workbookViewId="0">
      <selection activeCell="I90" sqref="I90"/>
    </sheetView>
  </sheetViews>
  <sheetFormatPr defaultRowHeight="12.75" x14ac:dyDescent="0.2"/>
  <cols>
    <col min="1" max="1" width="11.7109375" customWidth="1"/>
    <col min="2" max="2" width="16" customWidth="1"/>
    <col min="3" max="3" width="22.85546875" bestFit="1" customWidth="1"/>
    <col min="4" max="4" width="48" bestFit="1" customWidth="1"/>
    <col min="5" max="16" width="12.28515625" customWidth="1"/>
    <col min="17" max="17" width="12.28515625" bestFit="1" customWidth="1"/>
    <col min="18" max="18" width="19.28515625" bestFit="1" customWidth="1"/>
  </cols>
  <sheetData>
    <row r="1" spans="1:18" x14ac:dyDescent="0.2">
      <c r="A1" t="s">
        <v>191</v>
      </c>
      <c r="B1" t="s">
        <v>192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96</v>
      </c>
    </row>
    <row r="2" spans="1:18" x14ac:dyDescent="0.2">
      <c r="A2" t="s">
        <v>208</v>
      </c>
      <c r="B2" t="s">
        <v>209</v>
      </c>
      <c r="C2" t="s">
        <v>210</v>
      </c>
      <c r="D2" t="s">
        <v>211</v>
      </c>
      <c r="E2">
        <v>61534373.539999999</v>
      </c>
      <c r="F2">
        <v>40294595.310000002</v>
      </c>
      <c r="G2">
        <v>40767502.770000003</v>
      </c>
      <c r="H2">
        <v>40924245.740000002</v>
      </c>
      <c r="I2">
        <v>42226481.420000002</v>
      </c>
      <c r="J2">
        <v>42623597.560000002</v>
      </c>
      <c r="K2">
        <v>41844506.219999999</v>
      </c>
      <c r="L2">
        <v>41940936.560000002</v>
      </c>
      <c r="M2">
        <v>42152814.68</v>
      </c>
      <c r="N2">
        <v>40846737.210000001</v>
      </c>
      <c r="O2">
        <v>69243565.140000001</v>
      </c>
      <c r="P2">
        <v>46147314.539999999</v>
      </c>
      <c r="Q2">
        <v>550546670.69000006</v>
      </c>
      <c r="R2" t="s">
        <v>371</v>
      </c>
    </row>
    <row r="3" spans="1:18" x14ac:dyDescent="0.2">
      <c r="A3" t="s">
        <v>212</v>
      </c>
      <c r="B3" t="s">
        <v>213</v>
      </c>
      <c r="C3" t="s">
        <v>210</v>
      </c>
      <c r="D3" t="s">
        <v>76</v>
      </c>
      <c r="E3">
        <v>10278640.4</v>
      </c>
      <c r="F3">
        <v>9013664.9199999999</v>
      </c>
      <c r="G3">
        <v>8964077.3200000003</v>
      </c>
      <c r="H3">
        <v>6258011.0999999996</v>
      </c>
      <c r="I3">
        <v>5981137.6399999997</v>
      </c>
      <c r="J3">
        <v>6737933.4299999997</v>
      </c>
      <c r="K3">
        <v>6732656.6900000004</v>
      </c>
      <c r="L3">
        <v>5587098.3700000001</v>
      </c>
      <c r="M3">
        <v>7446396.3700000001</v>
      </c>
      <c r="N3">
        <v>8525193.1799999997</v>
      </c>
      <c r="O3">
        <v>6469289.6699999999</v>
      </c>
      <c r="P3">
        <v>2942120.32</v>
      </c>
      <c r="Q3">
        <v>84936219.409999996</v>
      </c>
      <c r="R3" t="s">
        <v>371</v>
      </c>
    </row>
    <row r="4" spans="1:18" x14ac:dyDescent="0.2">
      <c r="A4" t="s">
        <v>214</v>
      </c>
      <c r="B4" t="s">
        <v>342</v>
      </c>
      <c r="C4" t="s">
        <v>210</v>
      </c>
      <c r="D4" t="s">
        <v>215</v>
      </c>
      <c r="E4">
        <v>50000</v>
      </c>
      <c r="F4">
        <v>50000</v>
      </c>
      <c r="G4">
        <v>200000</v>
      </c>
      <c r="H4">
        <v>129976.06</v>
      </c>
      <c r="I4">
        <v>83039.94</v>
      </c>
      <c r="J4">
        <v>47511.15</v>
      </c>
      <c r="K4">
        <v>37353.760000000002</v>
      </c>
      <c r="L4">
        <v>30000</v>
      </c>
      <c r="M4">
        <v>274846.92</v>
      </c>
      <c r="N4">
        <v>387073.86</v>
      </c>
      <c r="O4">
        <v>100000</v>
      </c>
      <c r="P4">
        <v>3261614.31</v>
      </c>
      <c r="Q4">
        <v>4651416</v>
      </c>
      <c r="R4" t="s">
        <v>371</v>
      </c>
    </row>
    <row r="5" spans="1:18" x14ac:dyDescent="0.2">
      <c r="A5" t="s">
        <v>216</v>
      </c>
      <c r="D5" t="s">
        <v>336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371</v>
      </c>
    </row>
    <row r="7" spans="1:18" x14ac:dyDescent="0.2">
      <c r="E7">
        <f>SUM(E2:E6)</f>
        <v>71863013.939999998</v>
      </c>
      <c r="F7">
        <f t="shared" ref="F7:P7" si="0">SUM(F2:F6)</f>
        <v>49358260.230000004</v>
      </c>
      <c r="G7">
        <f t="shared" si="0"/>
        <v>49931580.090000004</v>
      </c>
      <c r="H7">
        <f t="shared" si="0"/>
        <v>47312232.900000006</v>
      </c>
      <c r="I7">
        <f t="shared" si="0"/>
        <v>48290659</v>
      </c>
      <c r="J7">
        <f t="shared" si="0"/>
        <v>49409042.140000001</v>
      </c>
      <c r="K7">
        <f t="shared" si="0"/>
        <v>48614516.669999994</v>
      </c>
      <c r="L7">
        <f t="shared" si="0"/>
        <v>47558034.93</v>
      </c>
      <c r="M7">
        <f t="shared" si="0"/>
        <v>49874057.969999999</v>
      </c>
      <c r="N7">
        <f t="shared" si="0"/>
        <v>49759004.25</v>
      </c>
      <c r="O7">
        <f t="shared" si="0"/>
        <v>75812854.810000002</v>
      </c>
      <c r="P7">
        <f t="shared" si="0"/>
        <v>52351049.170000002</v>
      </c>
      <c r="Q7">
        <f>SUM(E7:P7)</f>
        <v>640134306.10000002</v>
      </c>
    </row>
    <row r="10" spans="1:18" x14ac:dyDescent="0.2">
      <c r="E10" s="54"/>
      <c r="F10" s="54"/>
      <c r="G10" s="54"/>
      <c r="H10" s="54"/>
      <c r="I10" s="54"/>
      <c r="J10" s="54"/>
      <c r="K10" s="54"/>
      <c r="L10" s="54"/>
      <c r="M10" s="54"/>
    </row>
    <row r="11" spans="1:18" x14ac:dyDescent="0.2">
      <c r="E11" s="54"/>
      <c r="F11" s="54"/>
      <c r="G11" s="54"/>
      <c r="H11" s="54"/>
      <c r="I11" s="54"/>
      <c r="J11" s="54"/>
      <c r="K11" s="54"/>
      <c r="L11" s="54"/>
      <c r="M11" s="54"/>
    </row>
    <row r="12" spans="1:18" x14ac:dyDescent="0.2">
      <c r="E12" s="54"/>
      <c r="F12" s="54"/>
      <c r="G12" s="54"/>
      <c r="H12" s="54"/>
      <c r="I12" s="54"/>
      <c r="J12" s="54"/>
      <c r="K12" s="54"/>
      <c r="L12" s="54"/>
      <c r="M12" s="54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I90" sqref="I90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6" width="9.42578125" bestFit="1" customWidth="1"/>
    <col min="7" max="7" width="9.5703125" bestFit="1" customWidth="1"/>
    <col min="8" max="8" width="9.28515625" bestFit="1" customWidth="1"/>
    <col min="9" max="10" width="9.42578125" bestFit="1" customWidth="1"/>
    <col min="11" max="11" width="8.85546875" bestFit="1" customWidth="1"/>
    <col min="12" max="12" width="9.7109375" bestFit="1" customWidth="1"/>
    <col min="13" max="13" width="9.140625" bestFit="1" customWidth="1"/>
    <col min="14" max="14" width="9.28515625" bestFit="1" customWidth="1"/>
    <col min="15" max="16" width="9.5703125" bestFit="1" customWidth="1"/>
    <col min="17" max="17" width="10.7109375" bestFit="1" customWidth="1"/>
    <col min="18" max="18" width="19.28515625" bestFit="1" customWidth="1"/>
  </cols>
  <sheetData>
    <row r="1" spans="1:18" x14ac:dyDescent="0.2">
      <c r="A1" t="s">
        <v>191</v>
      </c>
      <c r="B1" t="s">
        <v>192</v>
      </c>
      <c r="C1" t="s">
        <v>193</v>
      </c>
      <c r="D1" t="s">
        <v>194</v>
      </c>
      <c r="E1" t="s">
        <v>195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  <c r="M1" t="s">
        <v>203</v>
      </c>
      <c r="N1" t="s">
        <v>204</v>
      </c>
      <c r="O1" t="s">
        <v>205</v>
      </c>
      <c r="P1" t="s">
        <v>206</v>
      </c>
      <c r="Q1" t="s">
        <v>207</v>
      </c>
      <c r="R1" t="s">
        <v>96</v>
      </c>
    </row>
    <row r="2" spans="1:18" x14ac:dyDescent="0.2">
      <c r="A2" t="s">
        <v>208</v>
      </c>
      <c r="D2" t="s">
        <v>334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 t="s">
        <v>372</v>
      </c>
    </row>
    <row r="3" spans="1:18" x14ac:dyDescent="0.2">
      <c r="A3" t="s">
        <v>212</v>
      </c>
      <c r="B3" t="s">
        <v>213</v>
      </c>
      <c r="C3" t="s">
        <v>210</v>
      </c>
      <c r="D3" t="s">
        <v>76</v>
      </c>
      <c r="E3">
        <v>86784.34</v>
      </c>
      <c r="F3">
        <v>15278.25</v>
      </c>
      <c r="G3">
        <v>7500.98</v>
      </c>
      <c r="H3">
        <v>3142.81</v>
      </c>
      <c r="I3">
        <v>10868.69</v>
      </c>
      <c r="J3">
        <v>1669.64</v>
      </c>
      <c r="K3">
        <v>1646.25</v>
      </c>
      <c r="L3">
        <v>11420.03</v>
      </c>
      <c r="M3">
        <v>10219.68</v>
      </c>
      <c r="N3">
        <v>70008.41</v>
      </c>
      <c r="O3">
        <v>933.42</v>
      </c>
      <c r="P3">
        <v>86361.07</v>
      </c>
      <c r="Q3">
        <v>305833.57</v>
      </c>
      <c r="R3" t="s">
        <v>372</v>
      </c>
    </row>
    <row r="4" spans="1:18" x14ac:dyDescent="0.2">
      <c r="A4" t="s">
        <v>214</v>
      </c>
      <c r="D4" t="s">
        <v>335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 t="s">
        <v>372</v>
      </c>
    </row>
    <row r="5" spans="1:18" x14ac:dyDescent="0.2">
      <c r="A5" t="s">
        <v>216</v>
      </c>
      <c r="D5" t="s">
        <v>336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372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workbookViewId="0">
      <selection activeCell="I90" sqref="I90"/>
    </sheetView>
  </sheetViews>
  <sheetFormatPr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customWidth="1"/>
    <col min="5" max="5" width="4.7109375" customWidth="1"/>
    <col min="6" max="6" width="6.140625" customWidth="1"/>
    <col min="7" max="7" width="10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8.85546875" customWidth="1"/>
    <col min="13" max="13" width="9.42578125" bestFit="1" customWidth="1"/>
    <col min="14" max="14" width="10.85546875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2" bestFit="1" customWidth="1"/>
    <col min="26" max="26" width="12.42578125" bestFit="1" customWidth="1"/>
    <col min="27" max="27" width="12" bestFit="1" customWidth="1"/>
    <col min="28" max="28" width="8.85546875" customWidth="1"/>
    <col min="29" max="29" width="5" customWidth="1"/>
  </cols>
  <sheetData>
    <row r="1" spans="1:29" x14ac:dyDescent="0.2">
      <c r="A1" s="1" t="s">
        <v>118</v>
      </c>
      <c r="B1" s="1" t="s">
        <v>119</v>
      </c>
      <c r="C1" s="1" t="s">
        <v>120</v>
      </c>
      <c r="D1" s="1" t="s">
        <v>78</v>
      </c>
      <c r="E1" s="1" t="s">
        <v>121</v>
      </c>
      <c r="F1" s="1" t="s">
        <v>79</v>
      </c>
      <c r="G1" s="1" t="s">
        <v>122</v>
      </c>
      <c r="H1" s="1" t="s">
        <v>80</v>
      </c>
      <c r="I1" s="1" t="s">
        <v>81</v>
      </c>
      <c r="J1" s="1" t="s">
        <v>123</v>
      </c>
      <c r="K1" s="1" t="s">
        <v>124</v>
      </c>
      <c r="L1" s="1" t="s">
        <v>125</v>
      </c>
      <c r="M1" s="1" t="s">
        <v>82</v>
      </c>
      <c r="N1" s="1" t="s">
        <v>126</v>
      </c>
      <c r="O1" s="1" t="s">
        <v>173</v>
      </c>
      <c r="P1" s="1" t="s">
        <v>174</v>
      </c>
      <c r="Q1" s="1" t="s">
        <v>175</v>
      </c>
      <c r="R1" s="1" t="s">
        <v>83</v>
      </c>
      <c r="S1" s="1" t="s">
        <v>127</v>
      </c>
      <c r="T1" s="1" t="s">
        <v>176</v>
      </c>
      <c r="U1" s="1" t="s">
        <v>177</v>
      </c>
      <c r="V1" s="1" t="s">
        <v>178</v>
      </c>
      <c r="W1" s="1" t="s">
        <v>84</v>
      </c>
      <c r="X1" s="1" t="s">
        <v>128</v>
      </c>
      <c r="Y1" s="1" t="s">
        <v>179</v>
      </c>
      <c r="Z1" s="1" t="s">
        <v>180</v>
      </c>
      <c r="AA1" s="1" t="s">
        <v>85</v>
      </c>
      <c r="AB1" s="1" t="s">
        <v>129</v>
      </c>
      <c r="AC1" s="1" t="s">
        <v>96</v>
      </c>
    </row>
    <row r="2" spans="1:29" x14ac:dyDescent="0.2">
      <c r="A2" t="s">
        <v>181</v>
      </c>
      <c r="B2" t="s">
        <v>182</v>
      </c>
      <c r="C2" t="s">
        <v>139</v>
      </c>
      <c r="D2" t="s">
        <v>132</v>
      </c>
      <c r="E2" t="s">
        <v>183</v>
      </c>
      <c r="F2" t="s">
        <v>133</v>
      </c>
      <c r="G2">
        <v>15036428</v>
      </c>
      <c r="H2">
        <v>0</v>
      </c>
      <c r="I2">
        <v>-15036428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 t="s">
        <v>184</v>
      </c>
    </row>
    <row r="3" spans="1:29" x14ac:dyDescent="0.2">
      <c r="A3" t="s">
        <v>130</v>
      </c>
      <c r="B3" t="s">
        <v>168</v>
      </c>
      <c r="C3" t="s">
        <v>131</v>
      </c>
      <c r="D3" t="s">
        <v>132</v>
      </c>
      <c r="E3" t="s">
        <v>0</v>
      </c>
      <c r="F3" t="s">
        <v>133</v>
      </c>
      <c r="G3">
        <v>273726567</v>
      </c>
      <c r="H3">
        <v>11941726</v>
      </c>
      <c r="I3">
        <v>0</v>
      </c>
      <c r="J3">
        <v>0</v>
      </c>
      <c r="K3">
        <v>285668293</v>
      </c>
      <c r="L3">
        <v>0</v>
      </c>
      <c r="M3">
        <v>0</v>
      </c>
      <c r="N3">
        <v>285668293</v>
      </c>
      <c r="O3">
        <v>849468.38</v>
      </c>
      <c r="P3">
        <v>283878829.39999998</v>
      </c>
      <c r="Q3">
        <v>864684.18</v>
      </c>
      <c r="R3">
        <v>285592981.95999998</v>
      </c>
      <c r="S3">
        <v>0.99970000000000003</v>
      </c>
      <c r="T3">
        <v>0</v>
      </c>
      <c r="U3">
        <v>283878829.39999998</v>
      </c>
      <c r="V3">
        <v>864684.18</v>
      </c>
      <c r="W3">
        <v>284743513.57999998</v>
      </c>
      <c r="X3">
        <v>0.99680000000000002</v>
      </c>
      <c r="Y3">
        <v>0</v>
      </c>
      <c r="Z3">
        <v>283878829.39999998</v>
      </c>
      <c r="AA3">
        <v>283878829.39999998</v>
      </c>
      <c r="AB3">
        <v>0.99370000000000003</v>
      </c>
      <c r="AC3" t="s">
        <v>184</v>
      </c>
    </row>
    <row r="4" spans="1:29" x14ac:dyDescent="0.2">
      <c r="A4" t="s">
        <v>130</v>
      </c>
      <c r="B4" t="s">
        <v>169</v>
      </c>
      <c r="C4" t="s">
        <v>131</v>
      </c>
      <c r="D4" t="s">
        <v>132</v>
      </c>
      <c r="E4" t="s">
        <v>24</v>
      </c>
      <c r="F4" t="s">
        <v>133</v>
      </c>
      <c r="G4">
        <v>29730398</v>
      </c>
      <c r="H4">
        <v>1394841</v>
      </c>
      <c r="I4">
        <v>-706261</v>
      </c>
      <c r="J4">
        <v>-688035</v>
      </c>
      <c r="K4">
        <v>29730943</v>
      </c>
      <c r="L4">
        <v>0</v>
      </c>
      <c r="M4">
        <v>0</v>
      </c>
      <c r="N4">
        <v>29730943</v>
      </c>
      <c r="O4">
        <v>29148880.969999999</v>
      </c>
      <c r="P4">
        <v>533906.29</v>
      </c>
      <c r="Q4">
        <v>0</v>
      </c>
      <c r="R4">
        <v>29682787.260000002</v>
      </c>
      <c r="S4">
        <v>0.99839999999999995</v>
      </c>
      <c r="T4">
        <v>23499345.620000001</v>
      </c>
      <c r="U4">
        <v>533906.29</v>
      </c>
      <c r="V4">
        <v>0</v>
      </c>
      <c r="W4">
        <v>24033251.91</v>
      </c>
      <c r="X4">
        <v>0.80840000000000001</v>
      </c>
      <c r="Y4">
        <v>23499345.620000001</v>
      </c>
      <c r="Z4">
        <v>533906.29</v>
      </c>
      <c r="AA4">
        <v>24033251.91</v>
      </c>
      <c r="AB4">
        <v>0.80840000000000001</v>
      </c>
      <c r="AC4" t="s">
        <v>184</v>
      </c>
    </row>
    <row r="5" spans="1:29" x14ac:dyDescent="0.2">
      <c r="A5" t="s">
        <v>130</v>
      </c>
      <c r="B5" t="s">
        <v>169</v>
      </c>
      <c r="C5" t="s">
        <v>131</v>
      </c>
      <c r="D5" t="s">
        <v>132</v>
      </c>
      <c r="E5" t="s">
        <v>24</v>
      </c>
      <c r="F5" t="s">
        <v>134</v>
      </c>
      <c r="G5">
        <v>6865656</v>
      </c>
      <c r="H5">
        <v>0</v>
      </c>
      <c r="I5">
        <v>0</v>
      </c>
      <c r="J5">
        <v>0</v>
      </c>
      <c r="K5">
        <v>6865656</v>
      </c>
      <c r="L5">
        <v>0</v>
      </c>
      <c r="M5">
        <v>0</v>
      </c>
      <c r="N5">
        <v>6865656</v>
      </c>
      <c r="O5">
        <v>6839488.4900000002</v>
      </c>
      <c r="P5">
        <v>0</v>
      </c>
      <c r="Q5">
        <v>0</v>
      </c>
      <c r="R5">
        <v>6839488.4900000002</v>
      </c>
      <c r="S5">
        <v>0.99619999999999997</v>
      </c>
      <c r="T5">
        <v>4638372.05</v>
      </c>
      <c r="U5">
        <v>0</v>
      </c>
      <c r="V5">
        <v>0</v>
      </c>
      <c r="W5">
        <v>4638372.05</v>
      </c>
      <c r="X5">
        <v>0.67559999999999998</v>
      </c>
      <c r="Y5">
        <v>4638372.05</v>
      </c>
      <c r="Z5">
        <v>0</v>
      </c>
      <c r="AA5">
        <v>4638372.05</v>
      </c>
      <c r="AB5">
        <v>0.67559999999999998</v>
      </c>
      <c r="AC5" t="s">
        <v>184</v>
      </c>
    </row>
    <row r="6" spans="1:29" x14ac:dyDescent="0.2">
      <c r="A6" t="s">
        <v>130</v>
      </c>
      <c r="B6" t="s">
        <v>169</v>
      </c>
      <c r="C6" t="s">
        <v>131</v>
      </c>
      <c r="D6" t="s">
        <v>132</v>
      </c>
      <c r="E6" t="s">
        <v>29</v>
      </c>
      <c r="F6" t="s">
        <v>133</v>
      </c>
      <c r="G6">
        <v>3198564</v>
      </c>
      <c r="H6">
        <v>2908961</v>
      </c>
      <c r="I6">
        <v>-1330955</v>
      </c>
      <c r="J6">
        <v>0</v>
      </c>
      <c r="K6">
        <v>4776570</v>
      </c>
      <c r="L6">
        <v>0</v>
      </c>
      <c r="M6">
        <v>0</v>
      </c>
      <c r="N6">
        <v>4776570</v>
      </c>
      <c r="O6">
        <v>4772873.57</v>
      </c>
      <c r="P6">
        <v>0</v>
      </c>
      <c r="Q6">
        <v>0</v>
      </c>
      <c r="R6">
        <v>4772873.57</v>
      </c>
      <c r="S6">
        <v>0.99919999999999998</v>
      </c>
      <c r="T6">
        <v>1768872.17</v>
      </c>
      <c r="U6">
        <v>0</v>
      </c>
      <c r="V6">
        <v>0</v>
      </c>
      <c r="W6">
        <v>1768872.17</v>
      </c>
      <c r="X6">
        <v>0.37030000000000002</v>
      </c>
      <c r="Y6">
        <v>1768872.17</v>
      </c>
      <c r="Z6">
        <v>0</v>
      </c>
      <c r="AA6">
        <v>1768872.17</v>
      </c>
      <c r="AB6">
        <v>0.37030000000000002</v>
      </c>
      <c r="AC6" t="s">
        <v>184</v>
      </c>
    </row>
    <row r="7" spans="1:29" x14ac:dyDescent="0.2">
      <c r="A7" t="s">
        <v>135</v>
      </c>
      <c r="B7" t="s">
        <v>136</v>
      </c>
      <c r="C7" t="s">
        <v>137</v>
      </c>
      <c r="D7" t="s">
        <v>132</v>
      </c>
      <c r="E7" t="s">
        <v>24</v>
      </c>
      <c r="F7" t="s">
        <v>133</v>
      </c>
      <c r="G7">
        <v>3034977</v>
      </c>
      <c r="H7">
        <v>0</v>
      </c>
      <c r="I7">
        <v>-900000</v>
      </c>
      <c r="J7">
        <v>-705000</v>
      </c>
      <c r="K7">
        <v>1429977</v>
      </c>
      <c r="L7">
        <v>0</v>
      </c>
      <c r="M7">
        <v>0</v>
      </c>
      <c r="N7">
        <v>1429977</v>
      </c>
      <c r="O7">
        <v>1151951.24</v>
      </c>
      <c r="P7">
        <v>245532.79999999999</v>
      </c>
      <c r="Q7">
        <v>0</v>
      </c>
      <c r="R7">
        <v>1397484.04</v>
      </c>
      <c r="S7">
        <v>0.97729999999999995</v>
      </c>
      <c r="T7">
        <v>957915.73</v>
      </c>
      <c r="U7">
        <v>245532.79999999999</v>
      </c>
      <c r="V7">
        <v>0</v>
      </c>
      <c r="W7">
        <v>1203448.53</v>
      </c>
      <c r="X7">
        <v>0.84160000000000001</v>
      </c>
      <c r="Y7">
        <v>957915.73</v>
      </c>
      <c r="Z7">
        <v>245532.79999999999</v>
      </c>
      <c r="AA7">
        <v>1203448.53</v>
      </c>
      <c r="AB7">
        <v>0.84160000000000001</v>
      </c>
      <c r="AC7" t="s">
        <v>184</v>
      </c>
    </row>
    <row r="8" spans="1:29" x14ac:dyDescent="0.2">
      <c r="A8" t="s">
        <v>228</v>
      </c>
      <c r="B8" t="s">
        <v>229</v>
      </c>
      <c r="C8" t="s">
        <v>230</v>
      </c>
      <c r="D8" t="s">
        <v>132</v>
      </c>
      <c r="E8" t="s">
        <v>24</v>
      </c>
      <c r="F8" t="s">
        <v>133</v>
      </c>
      <c r="G8">
        <v>0</v>
      </c>
      <c r="H8">
        <v>0</v>
      </c>
      <c r="I8">
        <v>0</v>
      </c>
      <c r="J8">
        <v>0</v>
      </c>
      <c r="K8">
        <v>0</v>
      </c>
      <c r="L8">
        <v>2918263</v>
      </c>
      <c r="M8">
        <v>0</v>
      </c>
      <c r="N8">
        <v>2918263</v>
      </c>
      <c r="O8">
        <v>2917734</v>
      </c>
      <c r="P8">
        <v>0</v>
      </c>
      <c r="Q8">
        <v>0</v>
      </c>
      <c r="R8">
        <v>2917734</v>
      </c>
      <c r="S8">
        <v>0.99980000000000002</v>
      </c>
      <c r="T8">
        <v>1583184</v>
      </c>
      <c r="U8">
        <v>0</v>
      </c>
      <c r="V8">
        <v>0</v>
      </c>
      <c r="W8">
        <v>1583184</v>
      </c>
      <c r="X8">
        <v>0.54249999999999998</v>
      </c>
      <c r="Y8">
        <v>1583184</v>
      </c>
      <c r="Z8">
        <v>0</v>
      </c>
      <c r="AA8">
        <v>1583184</v>
      </c>
      <c r="AB8">
        <v>0.54249999999999998</v>
      </c>
      <c r="AC8" t="s">
        <v>184</v>
      </c>
    </row>
    <row r="9" spans="1:29" x14ac:dyDescent="0.2">
      <c r="A9" t="s">
        <v>228</v>
      </c>
      <c r="B9" t="s">
        <v>229</v>
      </c>
      <c r="C9" t="s">
        <v>230</v>
      </c>
      <c r="D9" t="s">
        <v>132</v>
      </c>
      <c r="E9" t="s">
        <v>29</v>
      </c>
      <c r="F9" t="s">
        <v>133</v>
      </c>
      <c r="G9">
        <v>0</v>
      </c>
      <c r="H9">
        <v>0</v>
      </c>
      <c r="I9">
        <v>0</v>
      </c>
      <c r="J9">
        <v>0</v>
      </c>
      <c r="K9">
        <v>0</v>
      </c>
      <c r="L9">
        <v>5377218</v>
      </c>
      <c r="M9">
        <v>0</v>
      </c>
      <c r="N9">
        <v>5377218</v>
      </c>
      <c r="O9">
        <v>5375092</v>
      </c>
      <c r="P9">
        <v>0</v>
      </c>
      <c r="Q9">
        <v>0</v>
      </c>
      <c r="R9">
        <v>5375092</v>
      </c>
      <c r="S9">
        <v>0.99960000000000004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184</v>
      </c>
    </row>
    <row r="10" spans="1:29" x14ac:dyDescent="0.2">
      <c r="A10" t="s">
        <v>138</v>
      </c>
      <c r="B10" t="s">
        <v>185</v>
      </c>
      <c r="C10" t="s">
        <v>139</v>
      </c>
      <c r="D10" t="s">
        <v>132</v>
      </c>
      <c r="E10" t="s">
        <v>29</v>
      </c>
      <c r="F10" t="s">
        <v>133</v>
      </c>
      <c r="G10">
        <v>5000000</v>
      </c>
      <c r="H10">
        <v>1219000</v>
      </c>
      <c r="I10">
        <v>0</v>
      </c>
      <c r="J10">
        <v>-323230</v>
      </c>
      <c r="K10">
        <v>5895770</v>
      </c>
      <c r="L10">
        <v>0</v>
      </c>
      <c r="M10">
        <v>0</v>
      </c>
      <c r="N10">
        <v>5895770</v>
      </c>
      <c r="O10">
        <v>5895769.0700000003</v>
      </c>
      <c r="P10">
        <v>0</v>
      </c>
      <c r="Q10">
        <v>0</v>
      </c>
      <c r="R10">
        <v>5895769.0700000003</v>
      </c>
      <c r="S10">
        <v>1</v>
      </c>
      <c r="T10">
        <v>67569.19</v>
      </c>
      <c r="U10">
        <v>0</v>
      </c>
      <c r="V10">
        <v>0</v>
      </c>
      <c r="W10">
        <v>67569.19</v>
      </c>
      <c r="X10">
        <v>1.15E-2</v>
      </c>
      <c r="Y10">
        <v>67569.19</v>
      </c>
      <c r="Z10">
        <v>0</v>
      </c>
      <c r="AA10">
        <v>67569.19</v>
      </c>
      <c r="AB10">
        <v>1.15E-2</v>
      </c>
      <c r="AC10" t="s">
        <v>184</v>
      </c>
    </row>
    <row r="11" spans="1:29" x14ac:dyDescent="0.2">
      <c r="A11" t="s">
        <v>140</v>
      </c>
      <c r="B11" t="s">
        <v>141</v>
      </c>
      <c r="C11" t="s">
        <v>142</v>
      </c>
      <c r="D11" t="s">
        <v>132</v>
      </c>
      <c r="E11" t="s">
        <v>24</v>
      </c>
      <c r="F11" t="s">
        <v>133</v>
      </c>
      <c r="G11">
        <v>13978440</v>
      </c>
      <c r="H11">
        <v>25429</v>
      </c>
      <c r="I11">
        <v>0</v>
      </c>
      <c r="J11">
        <v>0</v>
      </c>
      <c r="K11">
        <v>14003869</v>
      </c>
      <c r="L11">
        <v>0</v>
      </c>
      <c r="M11">
        <v>0</v>
      </c>
      <c r="N11">
        <v>14003869</v>
      </c>
      <c r="O11">
        <v>13997626.289999999</v>
      </c>
      <c r="P11">
        <v>6242.71</v>
      </c>
      <c r="Q11">
        <v>0</v>
      </c>
      <c r="R11">
        <v>14003869</v>
      </c>
      <c r="S11">
        <v>1</v>
      </c>
      <c r="T11">
        <v>13953496.289999999</v>
      </c>
      <c r="U11">
        <v>6242.71</v>
      </c>
      <c r="V11">
        <v>0</v>
      </c>
      <c r="W11">
        <v>13959739</v>
      </c>
      <c r="X11">
        <v>0.99680000000000002</v>
      </c>
      <c r="Y11">
        <v>13953496.289999999</v>
      </c>
      <c r="Z11">
        <v>6242.71</v>
      </c>
      <c r="AA11">
        <v>13959739</v>
      </c>
      <c r="AB11">
        <v>0.99680000000000002</v>
      </c>
      <c r="AC11" t="s">
        <v>184</v>
      </c>
    </row>
    <row r="12" spans="1:29" x14ac:dyDescent="0.2">
      <c r="A12" t="s">
        <v>143</v>
      </c>
      <c r="B12" t="s">
        <v>144</v>
      </c>
      <c r="C12" t="s">
        <v>145</v>
      </c>
      <c r="D12" t="s">
        <v>132</v>
      </c>
      <c r="E12" t="s">
        <v>24</v>
      </c>
      <c r="F12" t="s">
        <v>133</v>
      </c>
      <c r="G12">
        <v>836000</v>
      </c>
      <c r="H12">
        <v>0</v>
      </c>
      <c r="I12">
        <v>0</v>
      </c>
      <c r="J12">
        <v>0</v>
      </c>
      <c r="K12">
        <v>836000</v>
      </c>
      <c r="L12">
        <v>0</v>
      </c>
      <c r="M12">
        <v>0</v>
      </c>
      <c r="N12">
        <v>836000</v>
      </c>
      <c r="O12">
        <v>836000</v>
      </c>
      <c r="P12">
        <v>0</v>
      </c>
      <c r="Q12">
        <v>0</v>
      </c>
      <c r="R12">
        <v>836000</v>
      </c>
      <c r="S12">
        <v>1</v>
      </c>
      <c r="T12">
        <v>658766.68000000005</v>
      </c>
      <c r="U12">
        <v>0</v>
      </c>
      <c r="V12">
        <v>0</v>
      </c>
      <c r="W12">
        <v>658766.68000000005</v>
      </c>
      <c r="X12">
        <v>0.78800000000000003</v>
      </c>
      <c r="Y12">
        <v>658766.68000000005</v>
      </c>
      <c r="Z12">
        <v>0</v>
      </c>
      <c r="AA12">
        <v>658766.68000000005</v>
      </c>
      <c r="AB12">
        <v>0.78800000000000003</v>
      </c>
      <c r="AC12" t="s">
        <v>184</v>
      </c>
    </row>
    <row r="13" spans="1:29" x14ac:dyDescent="0.2">
      <c r="A13" t="s">
        <v>146</v>
      </c>
      <c r="B13" t="s">
        <v>147</v>
      </c>
      <c r="C13" t="s">
        <v>148</v>
      </c>
      <c r="D13" t="s">
        <v>132</v>
      </c>
      <c r="E13" t="s">
        <v>24</v>
      </c>
      <c r="F13" t="s">
        <v>133</v>
      </c>
      <c r="G13">
        <v>1167600</v>
      </c>
      <c r="H13">
        <v>0</v>
      </c>
      <c r="I13">
        <v>0</v>
      </c>
      <c r="J13">
        <v>0</v>
      </c>
      <c r="K13">
        <v>1167600</v>
      </c>
      <c r="L13">
        <v>0</v>
      </c>
      <c r="M13">
        <v>0</v>
      </c>
      <c r="N13">
        <v>1167600</v>
      </c>
      <c r="O13">
        <v>0</v>
      </c>
      <c r="P13">
        <v>1135472.5</v>
      </c>
      <c r="Q13">
        <v>0</v>
      </c>
      <c r="R13">
        <v>1135472.5</v>
      </c>
      <c r="S13">
        <v>0.97250000000000003</v>
      </c>
      <c r="T13">
        <v>0</v>
      </c>
      <c r="U13">
        <v>1135472.5</v>
      </c>
      <c r="V13">
        <v>0</v>
      </c>
      <c r="W13">
        <v>1135472.5</v>
      </c>
      <c r="X13">
        <v>0.97250000000000003</v>
      </c>
      <c r="Y13">
        <v>0</v>
      </c>
      <c r="Z13">
        <v>1135472.5</v>
      </c>
      <c r="AA13">
        <v>1135472.5</v>
      </c>
      <c r="AB13">
        <v>0.97250000000000003</v>
      </c>
      <c r="AC13" t="s">
        <v>184</v>
      </c>
    </row>
    <row r="14" spans="1:29" x14ac:dyDescent="0.2">
      <c r="A14" t="s">
        <v>149</v>
      </c>
      <c r="B14" t="s">
        <v>150</v>
      </c>
      <c r="C14" t="s">
        <v>151</v>
      </c>
      <c r="D14" t="s">
        <v>152</v>
      </c>
      <c r="E14" t="s">
        <v>29</v>
      </c>
      <c r="F14" t="s">
        <v>133</v>
      </c>
      <c r="G14">
        <v>10000</v>
      </c>
      <c r="H14">
        <v>0</v>
      </c>
      <c r="I14">
        <v>0</v>
      </c>
      <c r="J14">
        <v>0</v>
      </c>
      <c r="K14">
        <v>10000</v>
      </c>
      <c r="L14">
        <v>0</v>
      </c>
      <c r="M14">
        <v>0</v>
      </c>
      <c r="N14">
        <v>10000</v>
      </c>
      <c r="O14">
        <v>355</v>
      </c>
      <c r="P14">
        <v>0</v>
      </c>
      <c r="Q14">
        <v>0</v>
      </c>
      <c r="R14">
        <v>355</v>
      </c>
      <c r="S14">
        <v>3.5499999999999997E-2</v>
      </c>
      <c r="T14">
        <v>355</v>
      </c>
      <c r="U14">
        <v>0</v>
      </c>
      <c r="V14">
        <v>0</v>
      </c>
      <c r="W14">
        <v>355</v>
      </c>
      <c r="X14">
        <v>3.5499999999999997E-2</v>
      </c>
      <c r="Y14">
        <v>355</v>
      </c>
      <c r="Z14">
        <v>0</v>
      </c>
      <c r="AA14">
        <v>355</v>
      </c>
      <c r="AB14">
        <v>3.5499999999999997E-2</v>
      </c>
      <c r="AC14" t="s">
        <v>184</v>
      </c>
    </row>
    <row r="15" spans="1:29" x14ac:dyDescent="0.2">
      <c r="A15" t="s">
        <v>149</v>
      </c>
      <c r="B15" t="s">
        <v>150</v>
      </c>
      <c r="C15" t="s">
        <v>151</v>
      </c>
      <c r="D15" t="s">
        <v>152</v>
      </c>
      <c r="E15" t="s">
        <v>24</v>
      </c>
      <c r="F15" t="s">
        <v>133</v>
      </c>
      <c r="G15">
        <v>4991480</v>
      </c>
      <c r="H15">
        <v>387038</v>
      </c>
      <c r="I15">
        <v>0</v>
      </c>
      <c r="J15">
        <v>0</v>
      </c>
      <c r="K15">
        <v>5378518</v>
      </c>
      <c r="L15">
        <v>0</v>
      </c>
      <c r="M15">
        <v>0</v>
      </c>
      <c r="N15">
        <v>5378518</v>
      </c>
      <c r="O15">
        <v>5222232.1900000004</v>
      </c>
      <c r="P15">
        <v>156285.81</v>
      </c>
      <c r="Q15">
        <v>0</v>
      </c>
      <c r="R15">
        <v>5378518</v>
      </c>
      <c r="S15">
        <v>1</v>
      </c>
      <c r="T15">
        <v>4988712.68</v>
      </c>
      <c r="U15">
        <v>156285.81</v>
      </c>
      <c r="V15">
        <v>0</v>
      </c>
      <c r="W15">
        <v>5144998.49</v>
      </c>
      <c r="X15">
        <v>0.95660000000000001</v>
      </c>
      <c r="Y15">
        <v>4988712.68</v>
      </c>
      <c r="Z15">
        <v>156285.81</v>
      </c>
      <c r="AA15">
        <v>5144998.49</v>
      </c>
      <c r="AB15">
        <v>0.95660000000000001</v>
      </c>
      <c r="AC15" t="s">
        <v>184</v>
      </c>
    </row>
    <row r="16" spans="1:29" x14ac:dyDescent="0.2">
      <c r="A16" t="s">
        <v>231</v>
      </c>
      <c r="B16" t="s">
        <v>232</v>
      </c>
      <c r="C16" t="s">
        <v>139</v>
      </c>
      <c r="D16" t="s">
        <v>132</v>
      </c>
      <c r="E16" t="s">
        <v>183</v>
      </c>
      <c r="F16" t="s">
        <v>133</v>
      </c>
      <c r="G16">
        <v>0</v>
      </c>
      <c r="H16">
        <v>20011228</v>
      </c>
      <c r="I16">
        <v>0</v>
      </c>
      <c r="J16">
        <v>0</v>
      </c>
      <c r="K16">
        <v>20011228</v>
      </c>
      <c r="L16">
        <v>0</v>
      </c>
      <c r="M16">
        <v>0</v>
      </c>
      <c r="N16">
        <v>20011228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 t="s">
        <v>184</v>
      </c>
    </row>
    <row r="17" spans="1:29" x14ac:dyDescent="0.2">
      <c r="A17" t="s">
        <v>186</v>
      </c>
      <c r="B17" t="s">
        <v>187</v>
      </c>
      <c r="C17" t="s">
        <v>139</v>
      </c>
      <c r="D17" t="s">
        <v>132</v>
      </c>
      <c r="E17" t="s">
        <v>29</v>
      </c>
      <c r="F17" t="s">
        <v>133</v>
      </c>
      <c r="G17">
        <v>470000</v>
      </c>
      <c r="H17">
        <v>0</v>
      </c>
      <c r="I17">
        <v>0</v>
      </c>
      <c r="J17">
        <v>0</v>
      </c>
      <c r="K17">
        <v>470000</v>
      </c>
      <c r="L17">
        <v>0</v>
      </c>
      <c r="M17">
        <v>0</v>
      </c>
      <c r="N17">
        <v>470000</v>
      </c>
      <c r="O17">
        <v>469420.37</v>
      </c>
      <c r="P17">
        <v>0</v>
      </c>
      <c r="Q17">
        <v>0</v>
      </c>
      <c r="R17">
        <v>469420.37</v>
      </c>
      <c r="S17">
        <v>0.99880000000000002</v>
      </c>
      <c r="T17">
        <v>301091.05</v>
      </c>
      <c r="U17">
        <v>0</v>
      </c>
      <c r="V17">
        <v>0</v>
      </c>
      <c r="W17">
        <v>301091.05</v>
      </c>
      <c r="X17">
        <v>0.64059999999999995</v>
      </c>
      <c r="Y17">
        <v>301091.05</v>
      </c>
      <c r="Z17">
        <v>0</v>
      </c>
      <c r="AA17">
        <v>301091.05</v>
      </c>
      <c r="AB17">
        <v>0.64059999999999995</v>
      </c>
      <c r="AC17" t="s">
        <v>184</v>
      </c>
    </row>
    <row r="18" spans="1:29" x14ac:dyDescent="0.2">
      <c r="A18" t="s">
        <v>153</v>
      </c>
      <c r="B18" t="s">
        <v>154</v>
      </c>
      <c r="C18" t="s">
        <v>139</v>
      </c>
      <c r="D18" t="s">
        <v>132</v>
      </c>
      <c r="E18" t="s">
        <v>0</v>
      </c>
      <c r="F18" t="s">
        <v>133</v>
      </c>
      <c r="G18">
        <v>48683162</v>
      </c>
      <c r="H18">
        <v>752350</v>
      </c>
      <c r="I18">
        <v>0</v>
      </c>
      <c r="J18">
        <v>0</v>
      </c>
      <c r="K18">
        <v>49435512</v>
      </c>
      <c r="L18">
        <v>0</v>
      </c>
      <c r="M18">
        <v>0</v>
      </c>
      <c r="N18">
        <v>49435512</v>
      </c>
      <c r="O18">
        <v>11340.61</v>
      </c>
      <c r="P18">
        <v>49152773.060000002</v>
      </c>
      <c r="Q18">
        <v>0</v>
      </c>
      <c r="R18">
        <v>49164113.670000002</v>
      </c>
      <c r="S18">
        <v>0.99450000000000005</v>
      </c>
      <c r="T18">
        <v>0</v>
      </c>
      <c r="U18">
        <v>49152773.060000002</v>
      </c>
      <c r="V18">
        <v>0</v>
      </c>
      <c r="W18">
        <v>49152773.060000002</v>
      </c>
      <c r="X18">
        <v>0.99429999999999996</v>
      </c>
      <c r="Y18">
        <v>0</v>
      </c>
      <c r="Z18">
        <v>49152773.060000002</v>
      </c>
      <c r="AA18">
        <v>49152773.060000002</v>
      </c>
      <c r="AB18">
        <v>0.99429999999999996</v>
      </c>
      <c r="AC18" t="s">
        <v>184</v>
      </c>
    </row>
    <row r="19" spans="1:29" x14ac:dyDescent="0.2">
      <c r="A19" t="s">
        <v>155</v>
      </c>
      <c r="B19" t="s">
        <v>156</v>
      </c>
      <c r="C19" t="s">
        <v>157</v>
      </c>
      <c r="D19" t="s">
        <v>152</v>
      </c>
      <c r="E19" t="s">
        <v>0</v>
      </c>
      <c r="F19" t="s">
        <v>133</v>
      </c>
      <c r="G19">
        <v>185118</v>
      </c>
      <c r="H19">
        <v>4415076</v>
      </c>
      <c r="I19">
        <v>0</v>
      </c>
      <c r="J19">
        <v>0</v>
      </c>
      <c r="K19">
        <v>4600194</v>
      </c>
      <c r="L19">
        <v>0</v>
      </c>
      <c r="M19">
        <v>0</v>
      </c>
      <c r="N19">
        <v>4600194</v>
      </c>
      <c r="O19">
        <v>5169.8100000000004</v>
      </c>
      <c r="P19">
        <v>4404928.17</v>
      </c>
      <c r="Q19">
        <v>106062.63</v>
      </c>
      <c r="R19">
        <v>4516160.6100000003</v>
      </c>
      <c r="S19">
        <v>0.98170000000000002</v>
      </c>
      <c r="T19">
        <v>0</v>
      </c>
      <c r="U19">
        <v>4404928.17</v>
      </c>
      <c r="V19">
        <v>106062.63</v>
      </c>
      <c r="W19">
        <v>4510990.8</v>
      </c>
      <c r="X19">
        <v>0.98060000000000003</v>
      </c>
      <c r="Y19">
        <v>0</v>
      </c>
      <c r="Z19">
        <v>4404928.17</v>
      </c>
      <c r="AA19">
        <v>4404928.17</v>
      </c>
      <c r="AB19">
        <v>0.95760000000000001</v>
      </c>
      <c r="AC19" t="s">
        <v>184</v>
      </c>
    </row>
    <row r="20" spans="1:29" x14ac:dyDescent="0.2">
      <c r="A20" t="s">
        <v>155</v>
      </c>
      <c r="B20" t="s">
        <v>156</v>
      </c>
      <c r="C20" t="s">
        <v>157</v>
      </c>
      <c r="D20" t="s">
        <v>152</v>
      </c>
      <c r="E20" t="s">
        <v>0</v>
      </c>
      <c r="F20" t="s">
        <v>159</v>
      </c>
      <c r="G20">
        <v>27451826</v>
      </c>
      <c r="H20">
        <v>0</v>
      </c>
      <c r="I20">
        <v>0</v>
      </c>
      <c r="J20">
        <v>0</v>
      </c>
      <c r="K20">
        <v>27451826</v>
      </c>
      <c r="L20">
        <v>0</v>
      </c>
      <c r="M20">
        <v>0</v>
      </c>
      <c r="N20">
        <v>27451826</v>
      </c>
      <c r="O20">
        <v>0</v>
      </c>
      <c r="P20">
        <v>27451826</v>
      </c>
      <c r="Q20">
        <v>0</v>
      </c>
      <c r="R20">
        <v>27451826</v>
      </c>
      <c r="S20">
        <v>1</v>
      </c>
      <c r="T20">
        <v>0</v>
      </c>
      <c r="U20">
        <v>27451826</v>
      </c>
      <c r="V20">
        <v>0</v>
      </c>
      <c r="W20">
        <v>27451826</v>
      </c>
      <c r="X20">
        <v>1</v>
      </c>
      <c r="Y20">
        <v>0</v>
      </c>
      <c r="Z20">
        <v>27451826</v>
      </c>
      <c r="AA20">
        <v>27451826</v>
      </c>
      <c r="AB20">
        <v>1</v>
      </c>
      <c r="AC20" t="s">
        <v>184</v>
      </c>
    </row>
    <row r="21" spans="1:29" x14ac:dyDescent="0.2">
      <c r="A21" t="s">
        <v>155</v>
      </c>
      <c r="B21" t="s">
        <v>156</v>
      </c>
      <c r="C21" t="s">
        <v>157</v>
      </c>
      <c r="D21" t="s">
        <v>152</v>
      </c>
      <c r="E21" t="s">
        <v>0</v>
      </c>
      <c r="F21" t="s">
        <v>158</v>
      </c>
      <c r="G21">
        <v>9386640</v>
      </c>
      <c r="H21">
        <v>469443</v>
      </c>
      <c r="I21">
        <v>0</v>
      </c>
      <c r="J21">
        <v>0</v>
      </c>
      <c r="K21">
        <v>9856083</v>
      </c>
      <c r="L21">
        <v>0</v>
      </c>
      <c r="M21">
        <v>0</v>
      </c>
      <c r="N21">
        <v>9856083</v>
      </c>
      <c r="O21">
        <v>0</v>
      </c>
      <c r="P21">
        <v>9845139.1199999992</v>
      </c>
      <c r="Q21">
        <v>10943.88</v>
      </c>
      <c r="R21">
        <v>9856083</v>
      </c>
      <c r="S21">
        <v>1</v>
      </c>
      <c r="T21">
        <v>0</v>
      </c>
      <c r="U21">
        <v>9845139.1199999992</v>
      </c>
      <c r="V21">
        <v>10943.88</v>
      </c>
      <c r="W21">
        <v>9856083</v>
      </c>
      <c r="X21">
        <v>1</v>
      </c>
      <c r="Y21">
        <v>0</v>
      </c>
      <c r="Z21">
        <v>9845139.1199999992</v>
      </c>
      <c r="AA21">
        <v>9845139.1199999992</v>
      </c>
      <c r="AB21">
        <v>0.99890000000000001</v>
      </c>
      <c r="AC21" t="s">
        <v>184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view="pageBreakPreview" topLeftCell="A67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42578125" customWidth="1"/>
    <col min="5" max="5" width="15.7109375" customWidth="1"/>
    <col min="6" max="6" width="12.28515625" bestFit="1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tr">
        <f>'Anexo I - Jan'!B4:C4</f>
        <v>TRIBUNAL REGIONAL FEDERAL DA 3ª REGIÃO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tr">
        <f>'Anexo I - Jan'!B6:C6</f>
        <v>SECRETARIA DE PLANEJAMENTO, ORÇAMENTO E FINANÇAS</v>
      </c>
      <c r="C6" s="107"/>
    </row>
    <row r="7" spans="1:3" x14ac:dyDescent="0.2">
      <c r="A7" s="2" t="s">
        <v>36</v>
      </c>
      <c r="B7" s="122" t="s">
        <v>354</v>
      </c>
      <c r="C7" s="123"/>
    </row>
    <row r="8" spans="1:3" x14ac:dyDescent="0.2">
      <c r="A8" s="2" t="s">
        <v>37</v>
      </c>
      <c r="B8" s="124">
        <v>42811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Access'!F2+'Despesa - Access Emag'!F2</f>
        <v>27763482.800000001</v>
      </c>
    </row>
    <row r="14" spans="1:3" x14ac:dyDescent="0.2">
      <c r="A14" s="2" t="s">
        <v>41</v>
      </c>
      <c r="B14" s="5" t="s">
        <v>2</v>
      </c>
      <c r="C14" s="10">
        <f>'Despesa - Access'!F3+'Despesa - Access Emag'!F3</f>
        <v>7552604.1600000001</v>
      </c>
    </row>
    <row r="15" spans="1:3" x14ac:dyDescent="0.2">
      <c r="A15" s="2" t="s">
        <v>42</v>
      </c>
      <c r="B15" s="5" t="s">
        <v>234</v>
      </c>
      <c r="C15" s="10">
        <f>'Despesa - Access'!F4+'Despesa - Access Emag'!F4</f>
        <v>4971711.67</v>
      </c>
    </row>
    <row r="16" spans="1:3" ht="51" x14ac:dyDescent="0.2">
      <c r="A16" s="6" t="s">
        <v>43</v>
      </c>
      <c r="B16" s="5" t="s">
        <v>242</v>
      </c>
      <c r="C16" s="10">
        <f>'Despesa - Access'!F5+'Despesa - Access Emag'!F5</f>
        <v>0</v>
      </c>
    </row>
    <row r="17" spans="1:4" x14ac:dyDescent="0.2">
      <c r="A17" s="103" t="s">
        <v>71</v>
      </c>
      <c r="B17" s="103"/>
      <c r="C17" s="10">
        <f>SUM(C13:C16)</f>
        <v>40287798.630000003</v>
      </c>
      <c r="D17">
        <f>40287798.63</f>
        <v>40287798.630000003</v>
      </c>
    </row>
    <row r="18" spans="1:4" x14ac:dyDescent="0.2">
      <c r="D18" s="8">
        <f>+D17-C17</f>
        <v>0</v>
      </c>
    </row>
    <row r="19" spans="1:4" x14ac:dyDescent="0.2">
      <c r="A19" s="4" t="s">
        <v>72</v>
      </c>
    </row>
    <row r="21" spans="1:4" x14ac:dyDescent="0.2">
      <c r="A21" s="3" t="s">
        <v>38</v>
      </c>
      <c r="B21" s="3" t="s">
        <v>39</v>
      </c>
      <c r="C21" s="11" t="s">
        <v>244</v>
      </c>
    </row>
    <row r="22" spans="1:4" x14ac:dyDescent="0.2">
      <c r="A22" s="2" t="s">
        <v>40</v>
      </c>
      <c r="B22" s="2" t="s">
        <v>3</v>
      </c>
      <c r="C22" s="10">
        <f>'Despesa - Access'!F6+'Despesa - Access Emag'!F6</f>
        <v>100008.06</v>
      </c>
    </row>
    <row r="23" spans="1:4" x14ac:dyDescent="0.2">
      <c r="A23" s="2" t="s">
        <v>41</v>
      </c>
      <c r="B23" s="2" t="s">
        <v>4</v>
      </c>
      <c r="C23" s="10">
        <f>'Despesa - Access'!F7+'Despesa - Access Emag'!F7</f>
        <v>1662603.27</v>
      </c>
    </row>
    <row r="24" spans="1:4" x14ac:dyDescent="0.2">
      <c r="A24" s="2" t="s">
        <v>42</v>
      </c>
      <c r="B24" s="2" t="s">
        <v>5</v>
      </c>
      <c r="C24" s="10">
        <f>'Despesa - Access'!F8+'Despesa - Access Emag'!F8</f>
        <v>170556</v>
      </c>
    </row>
    <row r="25" spans="1:4" x14ac:dyDescent="0.2">
      <c r="A25" s="2" t="s">
        <v>43</v>
      </c>
      <c r="B25" s="2" t="s">
        <v>6</v>
      </c>
      <c r="C25" s="10">
        <f>'Despesa - Access'!F9+'Despesa - Access Emag'!F9</f>
        <v>1128376.3999999999</v>
      </c>
    </row>
    <row r="26" spans="1:4" x14ac:dyDescent="0.2">
      <c r="A26" s="2" t="s">
        <v>45</v>
      </c>
      <c r="B26" s="2" t="s">
        <v>7</v>
      </c>
      <c r="C26" s="10">
        <f>'Despesa - Access'!F10+'Despesa - Access Emag'!F10</f>
        <v>149096.73000000001</v>
      </c>
    </row>
    <row r="27" spans="1:4" x14ac:dyDescent="0.2">
      <c r="A27" s="2" t="s">
        <v>46</v>
      </c>
      <c r="B27" s="2" t="s">
        <v>68</v>
      </c>
      <c r="C27" s="10">
        <f>'Despesa - Access'!F11+'Despesa - Access Emag'!F11</f>
        <v>27153.34</v>
      </c>
    </row>
    <row r="28" spans="1:4" x14ac:dyDescent="0.2">
      <c r="A28" s="2" t="s">
        <v>47</v>
      </c>
      <c r="B28" s="2" t="s">
        <v>8</v>
      </c>
      <c r="C28" s="10">
        <f>'Despesa - Access'!F12+'Despesa - Access Emag'!F12</f>
        <v>207235.47</v>
      </c>
    </row>
    <row r="29" spans="1:4" x14ac:dyDescent="0.2">
      <c r="A29" s="2" t="s">
        <v>48</v>
      </c>
      <c r="B29" s="2" t="s">
        <v>9</v>
      </c>
      <c r="C29" s="10">
        <f>'Despesa - Access'!F13+'Despesa - Access Emag'!F13</f>
        <v>337418</v>
      </c>
    </row>
    <row r="30" spans="1:4" x14ac:dyDescent="0.2">
      <c r="A30" s="2" t="s">
        <v>49</v>
      </c>
      <c r="B30" s="2" t="s">
        <v>10</v>
      </c>
      <c r="C30" s="10">
        <f>'Despesa - Access'!F14+'Despesa - Access Emag'!F14</f>
        <v>100408.38</v>
      </c>
    </row>
    <row r="31" spans="1:4" x14ac:dyDescent="0.2">
      <c r="A31" s="2" t="s">
        <v>50</v>
      </c>
      <c r="B31" s="2" t="s">
        <v>11</v>
      </c>
      <c r="C31" s="10">
        <f>'Despesa - Access'!F15+'Despesa - Access Emag'!F15</f>
        <v>294143.99</v>
      </c>
    </row>
    <row r="32" spans="1:4" x14ac:dyDescent="0.2">
      <c r="A32" s="2" t="s">
        <v>51</v>
      </c>
      <c r="B32" s="2" t="s">
        <v>12</v>
      </c>
      <c r="C32" s="10">
        <f>'Despesa - Access'!F16+'Despesa - Access Emag'!F16</f>
        <v>6489.66</v>
      </c>
    </row>
    <row r="33" spans="1:4" x14ac:dyDescent="0.2">
      <c r="A33" s="2" t="s">
        <v>52</v>
      </c>
      <c r="B33" s="2" t="s">
        <v>13</v>
      </c>
      <c r="C33" s="10">
        <f>'Despesa - Access'!F17+'Despesa - Access Emag'!F17</f>
        <v>143605.81</v>
      </c>
    </row>
    <row r="34" spans="1:4" ht="63.75" x14ac:dyDescent="0.2">
      <c r="A34" s="6" t="s">
        <v>53</v>
      </c>
      <c r="B34" s="7" t="s">
        <v>246</v>
      </c>
      <c r="C34" s="10">
        <f>'Despesa - Access'!F18+'Despesa - Access Emag'!F18</f>
        <v>68125.06</v>
      </c>
    </row>
    <row r="35" spans="1:4" x14ac:dyDescent="0.2">
      <c r="A35" s="2" t="s">
        <v>54</v>
      </c>
      <c r="B35" s="2" t="s">
        <v>14</v>
      </c>
      <c r="C35" s="10">
        <f>'Despesa - Access'!F19+'Despesa - Access Emag'!F19</f>
        <v>404283.22</v>
      </c>
    </row>
    <row r="36" spans="1:4" x14ac:dyDescent="0.2">
      <c r="A36" s="2" t="s">
        <v>55</v>
      </c>
      <c r="B36" s="2" t="s">
        <v>236</v>
      </c>
      <c r="C36" s="10">
        <f>'Despesa - Access'!F20+'Despesa - Access Emag'!F20</f>
        <v>186238.25</v>
      </c>
    </row>
    <row r="37" spans="1:4" x14ac:dyDescent="0.2">
      <c r="A37" s="2" t="s">
        <v>56</v>
      </c>
      <c r="B37" s="2" t="s">
        <v>15</v>
      </c>
      <c r="C37" s="10">
        <f>'Despesa - Access'!F21+'Despesa - Access Emag'!F21</f>
        <v>10021.75</v>
      </c>
    </row>
    <row r="38" spans="1:4" ht="25.5" x14ac:dyDescent="0.2">
      <c r="A38" s="6" t="s">
        <v>57</v>
      </c>
      <c r="B38" s="26" t="s">
        <v>69</v>
      </c>
      <c r="C38" s="10">
        <f>'Despesa - Access'!F22+'Despesa - Access Emag'!F22</f>
        <v>713033.32</v>
      </c>
    </row>
    <row r="39" spans="1:4" x14ac:dyDescent="0.2">
      <c r="A39" s="2" t="s">
        <v>58</v>
      </c>
      <c r="B39" s="2" t="s">
        <v>16</v>
      </c>
      <c r="C39" s="10">
        <f>'Despesa - Access'!F23+'Despesa - Access Emag'!F23</f>
        <v>900</v>
      </c>
    </row>
    <row r="40" spans="1:4" x14ac:dyDescent="0.2">
      <c r="A40" s="2" t="s">
        <v>59</v>
      </c>
      <c r="B40" s="2" t="s">
        <v>17</v>
      </c>
      <c r="C40" s="10">
        <f>'Despesa - Access'!F24+'Despesa - Access Emag'!F24</f>
        <v>0</v>
      </c>
    </row>
    <row r="41" spans="1:4" x14ac:dyDescent="0.2">
      <c r="A41" s="2" t="s">
        <v>60</v>
      </c>
      <c r="B41" s="2" t="s">
        <v>18</v>
      </c>
      <c r="C41" s="10">
        <f>'Despesa - Access'!F25+'Despesa - Access Emag'!F25</f>
        <v>0</v>
      </c>
    </row>
    <row r="42" spans="1:4" x14ac:dyDescent="0.2">
      <c r="A42" s="2" t="s">
        <v>61</v>
      </c>
      <c r="B42" s="2" t="s">
        <v>19</v>
      </c>
      <c r="C42" s="10">
        <f>'Despesa - Access'!F26+'Despesa - Access Emag'!F26</f>
        <v>0</v>
      </c>
    </row>
    <row r="43" spans="1:4" x14ac:dyDescent="0.2">
      <c r="A43" s="2" t="s">
        <v>62</v>
      </c>
      <c r="B43" s="2" t="s">
        <v>20</v>
      </c>
      <c r="C43" s="10">
        <f>'Despesa - Access'!F27+'Despesa - Access Emag'!F27</f>
        <v>7885.5</v>
      </c>
    </row>
    <row r="44" spans="1:4" x14ac:dyDescent="0.2">
      <c r="A44" s="2" t="s">
        <v>63</v>
      </c>
      <c r="B44" s="2" t="s">
        <v>21</v>
      </c>
      <c r="C44" s="10">
        <f>'Despesa - Access'!F28+'Despesa - Access Emag'!F28</f>
        <v>7301.28</v>
      </c>
    </row>
    <row r="45" spans="1:4" x14ac:dyDescent="0.2">
      <c r="A45" s="2" t="s">
        <v>64</v>
      </c>
      <c r="B45" s="2" t="s">
        <v>70</v>
      </c>
      <c r="C45" s="10">
        <f>'Despesa - Access'!F29+'Despesa - Access Emag'!F29</f>
        <v>9730.7000000000007</v>
      </c>
    </row>
    <row r="46" spans="1:4" x14ac:dyDescent="0.2">
      <c r="A46" s="2" t="s">
        <v>65</v>
      </c>
      <c r="B46" s="2" t="s">
        <v>22</v>
      </c>
      <c r="C46" s="10">
        <f>'Despesa - Access'!F30+'Despesa - Access Emag'!F30</f>
        <v>0</v>
      </c>
    </row>
    <row r="47" spans="1:4" x14ac:dyDescent="0.2">
      <c r="A47" s="2" t="s">
        <v>66</v>
      </c>
      <c r="B47" s="2" t="s">
        <v>23</v>
      </c>
      <c r="C47" s="10">
        <f>'Despesa - Access'!F31+'Despesa - Access Emag'!F31</f>
        <v>810088.99</v>
      </c>
    </row>
    <row r="48" spans="1:4" x14ac:dyDescent="0.2">
      <c r="A48" s="103" t="s">
        <v>71</v>
      </c>
      <c r="B48" s="103"/>
      <c r="C48" s="10">
        <f>SUM(C22:C47)</f>
        <v>6544703.1799999997</v>
      </c>
      <c r="D48">
        <f>6544703.18</f>
        <v>6544703.1799999997</v>
      </c>
    </row>
    <row r="49" spans="1:4" x14ac:dyDescent="0.2">
      <c r="D49" s="8">
        <f>+D48-C48</f>
        <v>0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9">
        <f>'Despesa - Access'!F32+'Despesa - Access Emag'!F32</f>
        <v>0</v>
      </c>
    </row>
    <row r="54" spans="1:4" x14ac:dyDescent="0.2">
      <c r="A54" s="2" t="s">
        <v>41</v>
      </c>
      <c r="B54" s="2" t="s">
        <v>26</v>
      </c>
      <c r="C54" s="9">
        <f>'Despesa - Access'!F33+'Despesa - Access Emag'!F33</f>
        <v>0</v>
      </c>
    </row>
    <row r="55" spans="1:4" x14ac:dyDescent="0.2">
      <c r="A55" s="2" t="s">
        <v>42</v>
      </c>
      <c r="B55" s="2" t="s">
        <v>67</v>
      </c>
      <c r="C55" s="9">
        <f>'Despesa - Access'!F34+'Despesa - Access Emag'!F34</f>
        <v>0</v>
      </c>
    </row>
    <row r="56" spans="1:4" x14ac:dyDescent="0.2">
      <c r="A56" s="2" t="s">
        <v>43</v>
      </c>
      <c r="B56" s="2" t="s">
        <v>27</v>
      </c>
      <c r="C56" s="9">
        <f>'Despesa - Access'!F35+'Despesa - Access Emag'!F35</f>
        <v>0</v>
      </c>
    </row>
    <row r="57" spans="1:4" x14ac:dyDescent="0.2">
      <c r="A57" s="2" t="s">
        <v>45</v>
      </c>
      <c r="B57" s="2" t="s">
        <v>28</v>
      </c>
      <c r="C57" s="9">
        <f>'Despesa - Access'!F36+'Despesa - Access Emag'!F36</f>
        <v>0</v>
      </c>
    </row>
    <row r="58" spans="1:4" x14ac:dyDescent="0.2">
      <c r="A58" s="103" t="s">
        <v>71</v>
      </c>
      <c r="B58" s="103"/>
      <c r="C58" s="10">
        <f>SUM(C53:C57)</f>
        <v>0</v>
      </c>
      <c r="D58">
        <v>0</v>
      </c>
    </row>
    <row r="59" spans="1:4" x14ac:dyDescent="0.2">
      <c r="D59" s="8">
        <f>+D58-C58</f>
        <v>0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9">
        <f>'Despesa - Access'!F37+'Despesa - Access Emag'!F37</f>
        <v>0</v>
      </c>
    </row>
    <row r="64" spans="1:4" x14ac:dyDescent="0.2">
      <c r="A64" s="2" t="s">
        <v>41</v>
      </c>
      <c r="B64" s="2" t="s">
        <v>31</v>
      </c>
      <c r="C64" s="9">
        <f>'Despesa - Access'!F38+'Despesa - Access Emag'!F38</f>
        <v>0</v>
      </c>
    </row>
    <row r="65" spans="1:5" x14ac:dyDescent="0.2">
      <c r="A65" s="103" t="s">
        <v>71</v>
      </c>
      <c r="B65" s="103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244</v>
      </c>
    </row>
    <row r="70" spans="1:5" x14ac:dyDescent="0.2">
      <c r="A70" s="2" t="s">
        <v>40</v>
      </c>
      <c r="B70" s="2" t="s">
        <v>75</v>
      </c>
      <c r="C70" s="9">
        <f>'Financeiro - Access'!F2+'Financeiro - Access Emag'!F2</f>
        <v>40294595.310000002</v>
      </c>
      <c r="D70" s="54">
        <v>40263119.350000001</v>
      </c>
      <c r="E70" s="54">
        <f>+D70-C70</f>
        <v>-31475.960000000894</v>
      </c>
    </row>
    <row r="71" spans="1:5" x14ac:dyDescent="0.2">
      <c r="A71" s="2" t="s">
        <v>41</v>
      </c>
      <c r="B71" s="2" t="s">
        <v>76</v>
      </c>
      <c r="C71" s="9">
        <f>'Financeiro - Access'!F3+'Financeiro - Access Emag'!F3</f>
        <v>9028943.1699999999</v>
      </c>
      <c r="D71" s="54">
        <v>9105541.3000000007</v>
      </c>
      <c r="E71" s="54">
        <f>+D71-C71</f>
        <v>76598.13000000082</v>
      </c>
    </row>
    <row r="72" spans="1:5" x14ac:dyDescent="0.2">
      <c r="A72" s="2" t="s">
        <v>42</v>
      </c>
      <c r="B72" s="2" t="s">
        <v>215</v>
      </c>
      <c r="C72" s="9">
        <f>'Financeiro - Access'!F4+'Financeiro - Access Emag'!F4</f>
        <v>50000</v>
      </c>
    </row>
    <row r="73" spans="1:5" x14ac:dyDescent="0.2">
      <c r="A73" s="2" t="s">
        <v>43</v>
      </c>
      <c r="B73" s="2" t="s">
        <v>238</v>
      </c>
      <c r="C73" s="9">
        <f>'Financeiro - Access'!F5+'Financeiro - Access Emag'!F5</f>
        <v>0</v>
      </c>
    </row>
    <row r="74" spans="1:5" x14ac:dyDescent="0.2">
      <c r="A74" s="103" t="s">
        <v>71</v>
      </c>
      <c r="B74" s="103"/>
      <c r="C74" s="10">
        <f>SUM(C70:C73)</f>
        <v>49373538.480000004</v>
      </c>
    </row>
    <row r="76" spans="1:5" x14ac:dyDescent="0.2">
      <c r="A76" s="4" t="s">
        <v>220</v>
      </c>
    </row>
    <row r="78" spans="1:5" x14ac:dyDescent="0.2">
      <c r="A78" s="3" t="s">
        <v>38</v>
      </c>
      <c r="B78" s="3" t="s">
        <v>39</v>
      </c>
      <c r="C78" s="11" t="s">
        <v>244</v>
      </c>
    </row>
    <row r="79" spans="1:5" x14ac:dyDescent="0.2">
      <c r="A79" s="2" t="s">
        <v>40</v>
      </c>
      <c r="B79" s="2" t="s">
        <v>239</v>
      </c>
      <c r="C79" s="9"/>
    </row>
    <row r="80" spans="1:5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9" t="s">
        <v>293</v>
      </c>
      <c r="B84" s="119"/>
      <c r="C84" s="119"/>
    </row>
    <row r="85" spans="1:5" x14ac:dyDescent="0.2">
      <c r="A85" s="121" t="s">
        <v>358</v>
      </c>
      <c r="B85" s="121"/>
      <c r="C85" s="121"/>
    </row>
    <row r="86" spans="1:5" x14ac:dyDescent="0.2">
      <c r="A86" s="121" t="s">
        <v>385</v>
      </c>
      <c r="B86" s="121"/>
      <c r="C86" s="121"/>
    </row>
    <row r="87" spans="1:5" x14ac:dyDescent="0.2">
      <c r="A87" s="102"/>
      <c r="B87" s="102"/>
      <c r="C87" s="102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25"/>
      <c r="B89" s="25"/>
      <c r="C89" s="25"/>
    </row>
    <row r="90" spans="1:5" x14ac:dyDescent="0.2">
      <c r="C90" s="11" t="s">
        <v>101</v>
      </c>
      <c r="D90" s="3" t="s">
        <v>100</v>
      </c>
      <c r="E90" s="3" t="s">
        <v>71</v>
      </c>
    </row>
    <row r="91" spans="1:5" x14ac:dyDescent="0.2">
      <c r="A91" s="112"/>
      <c r="B91" s="111"/>
      <c r="C91" s="9">
        <v>0</v>
      </c>
      <c r="D91" s="9">
        <v>0</v>
      </c>
      <c r="E91" s="9">
        <f>C91-D91</f>
        <v>0</v>
      </c>
    </row>
    <row r="92" spans="1:5" x14ac:dyDescent="0.2">
      <c r="A92" s="112" t="s">
        <v>343</v>
      </c>
      <c r="B92" s="111"/>
      <c r="C92" s="9">
        <v>109107153.18000001</v>
      </c>
      <c r="D92" s="9">
        <f>'Anexo I - Jan'!C93</f>
        <v>62274651.369999997</v>
      </c>
      <c r="E92" s="9">
        <f>C92-D92</f>
        <v>46832501.81000001</v>
      </c>
    </row>
    <row r="93" spans="1:5" x14ac:dyDescent="0.2">
      <c r="A93" s="112" t="s">
        <v>344</v>
      </c>
      <c r="B93" s="111"/>
      <c r="C93" s="9">
        <f>14763.87</f>
        <v>14763.87</v>
      </c>
      <c r="D93" s="9">
        <f>'Anexo I - Jan'!C95</f>
        <v>0</v>
      </c>
      <c r="E93" s="9">
        <f>C93-D93</f>
        <v>14763.87</v>
      </c>
    </row>
    <row r="94" spans="1:5" x14ac:dyDescent="0.2">
      <c r="A94" s="112" t="s">
        <v>97</v>
      </c>
      <c r="B94" s="120"/>
      <c r="C94" s="120"/>
      <c r="D94" s="111"/>
      <c r="E94" s="27">
        <f>SUM(E91:E93)</f>
        <v>46847265.680000007</v>
      </c>
    </row>
    <row r="95" spans="1:5" x14ac:dyDescent="0.2">
      <c r="A95" s="112" t="s">
        <v>98</v>
      </c>
      <c r="B95" s="120"/>
      <c r="C95" s="120"/>
      <c r="D95" s="111"/>
      <c r="E95" s="27">
        <f>C17+C48+C58+C65</f>
        <v>46832501.810000002</v>
      </c>
    </row>
    <row r="97" spans="4:6" x14ac:dyDescent="0.2">
      <c r="D97" s="61" t="s">
        <v>337</v>
      </c>
      <c r="E97" s="56">
        <v>46832501.810000002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</sheetData>
  <mergeCells count="22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8:E88"/>
    <mergeCell ref="A95:D95"/>
    <mergeCell ref="A94:D94"/>
    <mergeCell ref="A91:B91"/>
    <mergeCell ref="A92:B92"/>
    <mergeCell ref="A93:B93"/>
    <mergeCell ref="A86:C86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90" sqref="I90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I90" sqref="I90"/>
    </sheetView>
  </sheetViews>
  <sheetFormatPr defaultRowHeight="12.75" x14ac:dyDescent="0.2"/>
  <cols>
    <col min="2" max="2" width="13.140625" customWidth="1"/>
    <col min="3" max="3" width="12.28515625" bestFit="1" customWidth="1"/>
  </cols>
  <sheetData>
    <row r="1" spans="1:13" x14ac:dyDescent="0.2">
      <c r="B1" t="s">
        <v>217</v>
      </c>
    </row>
    <row r="2" spans="1:13" ht="13.5" thickBot="1" x14ac:dyDescent="0.25"/>
    <row r="3" spans="1:13" ht="13.5" thickBot="1" x14ac:dyDescent="0.25">
      <c r="A3" s="35"/>
      <c r="B3" s="36" t="s">
        <v>161</v>
      </c>
      <c r="C3" s="37" t="s">
        <v>162</v>
      </c>
      <c r="D3" s="37" t="s">
        <v>163</v>
      </c>
      <c r="E3" s="37" t="s">
        <v>164</v>
      </c>
      <c r="F3" s="37" t="s">
        <v>165</v>
      </c>
      <c r="G3" s="38" t="s">
        <v>166</v>
      </c>
      <c r="H3" s="50"/>
      <c r="I3" s="50"/>
      <c r="J3" s="50"/>
      <c r="K3" s="50"/>
      <c r="L3" s="50"/>
      <c r="M3" s="50"/>
    </row>
    <row r="4" spans="1:13" x14ac:dyDescent="0.2">
      <c r="A4" s="39"/>
      <c r="B4" s="40"/>
      <c r="C4" s="41"/>
      <c r="D4" s="41"/>
      <c r="E4" s="41"/>
      <c r="F4" s="41"/>
      <c r="G4" s="42"/>
      <c r="H4" s="50"/>
      <c r="I4" s="50"/>
      <c r="J4" s="50"/>
      <c r="K4" s="50"/>
      <c r="L4" s="50"/>
      <c r="M4" s="50"/>
    </row>
    <row r="5" spans="1:13" x14ac:dyDescent="0.2">
      <c r="A5" s="43">
        <v>2010</v>
      </c>
      <c r="B5" s="44"/>
      <c r="C5" s="45"/>
      <c r="D5" s="45"/>
      <c r="E5" s="45"/>
      <c r="F5" s="45"/>
      <c r="G5" s="46"/>
      <c r="H5" s="51"/>
      <c r="I5" s="51"/>
      <c r="J5" s="51"/>
      <c r="K5" s="51"/>
      <c r="L5" s="51"/>
      <c r="M5" s="51"/>
    </row>
    <row r="6" spans="1:13" x14ac:dyDescent="0.2">
      <c r="A6" s="43"/>
      <c r="B6" s="44"/>
      <c r="C6" s="45"/>
      <c r="D6" s="45"/>
      <c r="E6" s="45"/>
      <c r="F6" s="45"/>
      <c r="G6" s="46"/>
      <c r="H6" s="51"/>
      <c r="I6" s="51"/>
      <c r="J6" s="51"/>
      <c r="K6" s="51"/>
      <c r="L6" s="51"/>
      <c r="M6" s="51"/>
    </row>
    <row r="7" spans="1:13" x14ac:dyDescent="0.2">
      <c r="A7" s="43"/>
      <c r="B7" s="44"/>
      <c r="C7" s="45"/>
      <c r="D7" s="45"/>
      <c r="E7" s="45"/>
      <c r="F7" s="45"/>
      <c r="G7" s="46"/>
      <c r="H7" s="51"/>
      <c r="I7" s="51"/>
      <c r="J7" s="51"/>
      <c r="K7" s="51"/>
      <c r="L7" s="51"/>
      <c r="M7" s="51"/>
    </row>
    <row r="8" spans="1:13" ht="13.5" thickBot="1" x14ac:dyDescent="0.25">
      <c r="A8" s="47"/>
      <c r="B8" s="48"/>
      <c r="C8" s="30"/>
      <c r="D8" s="30"/>
      <c r="E8" s="30"/>
      <c r="F8" s="30"/>
      <c r="G8" s="31"/>
      <c r="H8" s="50"/>
      <c r="I8" s="50"/>
      <c r="J8" s="50"/>
      <c r="K8" s="50"/>
      <c r="L8" s="50"/>
      <c r="M8" s="50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G19" sqref="G19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bestFit="1" customWidth="1"/>
    <col min="4" max="4" width="81.140625" bestFit="1" customWidth="1"/>
    <col min="5" max="5" width="12.28515625" style="24" bestFit="1" customWidth="1"/>
    <col min="6" max="6" width="14.85546875" bestFit="1" customWidth="1"/>
  </cols>
  <sheetData>
    <row r="1" spans="1:6" x14ac:dyDescent="0.2">
      <c r="A1" t="s">
        <v>219</v>
      </c>
      <c r="B1" t="s">
        <v>191</v>
      </c>
      <c r="C1" t="s">
        <v>193</v>
      </c>
      <c r="D1" t="s">
        <v>194</v>
      </c>
      <c r="E1" s="24" t="s">
        <v>233</v>
      </c>
      <c r="F1" t="s">
        <v>96</v>
      </c>
    </row>
    <row r="2" spans="1:6" x14ac:dyDescent="0.2">
      <c r="A2" t="s">
        <v>0</v>
      </c>
      <c r="B2" t="s">
        <v>250</v>
      </c>
      <c r="C2" t="s">
        <v>251</v>
      </c>
      <c r="D2" t="s">
        <v>295</v>
      </c>
      <c r="E2" s="24">
        <v>8504360.5199999996</v>
      </c>
      <c r="F2" t="s">
        <v>386</v>
      </c>
    </row>
    <row r="3" spans="1:6" x14ac:dyDescent="0.2">
      <c r="A3" t="s">
        <v>0</v>
      </c>
      <c r="B3" t="s">
        <v>252</v>
      </c>
      <c r="C3" t="s">
        <v>251</v>
      </c>
      <c r="D3" t="s">
        <v>325</v>
      </c>
      <c r="E3" s="24">
        <v>583126.41</v>
      </c>
      <c r="F3" t="s">
        <v>386</v>
      </c>
    </row>
    <row r="4" spans="1:6" x14ac:dyDescent="0.2">
      <c r="A4" t="s">
        <v>0</v>
      </c>
      <c r="B4" t="s">
        <v>253</v>
      </c>
      <c r="C4" t="s">
        <v>251</v>
      </c>
      <c r="D4" t="s">
        <v>304</v>
      </c>
      <c r="E4" s="24">
        <v>255629.86</v>
      </c>
      <c r="F4" t="s">
        <v>386</v>
      </c>
    </row>
    <row r="5" spans="1:6" x14ac:dyDescent="0.2">
      <c r="A5" t="s">
        <v>0</v>
      </c>
      <c r="B5" t="s">
        <v>254</v>
      </c>
      <c r="C5" t="s">
        <v>251</v>
      </c>
      <c r="D5" t="s">
        <v>296</v>
      </c>
      <c r="E5" s="24">
        <v>0</v>
      </c>
      <c r="F5" t="s">
        <v>386</v>
      </c>
    </row>
    <row r="6" spans="1:6" x14ac:dyDescent="0.2">
      <c r="A6" t="s">
        <v>255</v>
      </c>
      <c r="B6" t="s">
        <v>256</v>
      </c>
      <c r="C6" t="s">
        <v>257</v>
      </c>
      <c r="D6" t="s">
        <v>319</v>
      </c>
      <c r="E6" s="24">
        <v>0</v>
      </c>
      <c r="F6" t="s">
        <v>386</v>
      </c>
    </row>
    <row r="7" spans="1:6" x14ac:dyDescent="0.2">
      <c r="A7" t="s">
        <v>255</v>
      </c>
      <c r="B7" t="s">
        <v>258</v>
      </c>
      <c r="C7" t="s">
        <v>257</v>
      </c>
      <c r="D7" t="s">
        <v>323</v>
      </c>
      <c r="E7" s="24">
        <v>321.45</v>
      </c>
      <c r="F7" t="s">
        <v>386</v>
      </c>
    </row>
    <row r="8" spans="1:6" x14ac:dyDescent="0.2">
      <c r="A8" t="s">
        <v>255</v>
      </c>
      <c r="B8" t="s">
        <v>259</v>
      </c>
      <c r="C8" t="s">
        <v>257</v>
      </c>
      <c r="D8" t="s">
        <v>322</v>
      </c>
      <c r="E8" s="24">
        <v>0</v>
      </c>
      <c r="F8" t="s">
        <v>386</v>
      </c>
    </row>
    <row r="9" spans="1:6" x14ac:dyDescent="0.2">
      <c r="A9" t="s">
        <v>255</v>
      </c>
      <c r="B9" t="s">
        <v>260</v>
      </c>
      <c r="C9" t="s">
        <v>257</v>
      </c>
      <c r="D9" t="s">
        <v>324</v>
      </c>
      <c r="E9" s="24">
        <v>957424.08</v>
      </c>
      <c r="F9" t="s">
        <v>386</v>
      </c>
    </row>
    <row r="10" spans="1:6" x14ac:dyDescent="0.2">
      <c r="A10" t="s">
        <v>255</v>
      </c>
      <c r="B10" t="s">
        <v>261</v>
      </c>
      <c r="C10" t="s">
        <v>257</v>
      </c>
      <c r="D10" t="s">
        <v>307</v>
      </c>
      <c r="E10" s="24">
        <v>0</v>
      </c>
      <c r="F10" t="s">
        <v>386</v>
      </c>
    </row>
    <row r="11" spans="1:6" x14ac:dyDescent="0.2">
      <c r="A11" t="s">
        <v>255</v>
      </c>
      <c r="B11" t="s">
        <v>262</v>
      </c>
      <c r="C11" t="s">
        <v>257</v>
      </c>
      <c r="D11" t="s">
        <v>308</v>
      </c>
      <c r="E11" s="24">
        <v>0</v>
      </c>
      <c r="F11" t="s">
        <v>386</v>
      </c>
    </row>
    <row r="12" spans="1:6" x14ac:dyDescent="0.2">
      <c r="A12" t="s">
        <v>255</v>
      </c>
      <c r="B12" t="s">
        <v>263</v>
      </c>
      <c r="C12" t="s">
        <v>257</v>
      </c>
      <c r="D12" t="s">
        <v>328</v>
      </c>
      <c r="E12" s="24">
        <v>0</v>
      </c>
      <c r="F12" t="s">
        <v>386</v>
      </c>
    </row>
    <row r="13" spans="1:6" x14ac:dyDescent="0.2">
      <c r="A13" t="s">
        <v>255</v>
      </c>
      <c r="B13" t="s">
        <v>264</v>
      </c>
      <c r="C13" t="s">
        <v>257</v>
      </c>
      <c r="D13" t="s">
        <v>313</v>
      </c>
      <c r="E13" s="24">
        <v>112472.69</v>
      </c>
      <c r="F13" t="s">
        <v>386</v>
      </c>
    </row>
    <row r="14" spans="1:6" x14ac:dyDescent="0.2">
      <c r="A14" t="s">
        <v>255</v>
      </c>
      <c r="B14" t="s">
        <v>265</v>
      </c>
      <c r="C14" t="s">
        <v>257</v>
      </c>
      <c r="D14" t="s">
        <v>316</v>
      </c>
      <c r="E14" s="24">
        <v>98127.66</v>
      </c>
      <c r="F14" t="s">
        <v>386</v>
      </c>
    </row>
    <row r="15" spans="1:6" x14ac:dyDescent="0.2">
      <c r="A15" t="s">
        <v>255</v>
      </c>
      <c r="B15" t="s">
        <v>266</v>
      </c>
      <c r="C15" t="s">
        <v>257</v>
      </c>
      <c r="D15" t="s">
        <v>309</v>
      </c>
      <c r="E15" s="24">
        <v>310362.84999999998</v>
      </c>
      <c r="F15" t="s">
        <v>386</v>
      </c>
    </row>
    <row r="16" spans="1:6" x14ac:dyDescent="0.2">
      <c r="A16" t="s">
        <v>255</v>
      </c>
      <c r="B16" t="s">
        <v>267</v>
      </c>
      <c r="C16" t="s">
        <v>257</v>
      </c>
      <c r="D16" t="s">
        <v>310</v>
      </c>
      <c r="E16" s="24">
        <v>19013.61</v>
      </c>
      <c r="F16" t="s">
        <v>386</v>
      </c>
    </row>
    <row r="17" spans="1:6" x14ac:dyDescent="0.2">
      <c r="A17" t="s">
        <v>255</v>
      </c>
      <c r="B17" t="s">
        <v>268</v>
      </c>
      <c r="C17" t="s">
        <v>257</v>
      </c>
      <c r="D17" t="s">
        <v>305</v>
      </c>
      <c r="E17" s="24">
        <v>297337.62</v>
      </c>
      <c r="F17" t="s">
        <v>386</v>
      </c>
    </row>
    <row r="18" spans="1:6" x14ac:dyDescent="0.2">
      <c r="A18" t="s">
        <v>255</v>
      </c>
      <c r="B18" t="s">
        <v>269</v>
      </c>
      <c r="C18" t="s">
        <v>257</v>
      </c>
      <c r="D18" t="s">
        <v>320</v>
      </c>
      <c r="E18" s="24">
        <v>353648.89</v>
      </c>
      <c r="F18" t="s">
        <v>386</v>
      </c>
    </row>
    <row r="19" spans="1:6" x14ac:dyDescent="0.2">
      <c r="A19" t="s">
        <v>255</v>
      </c>
      <c r="B19" t="s">
        <v>270</v>
      </c>
      <c r="C19" t="s">
        <v>257</v>
      </c>
      <c r="D19" t="s">
        <v>311</v>
      </c>
      <c r="E19" s="24">
        <v>138205.72</v>
      </c>
      <c r="F19" t="s">
        <v>386</v>
      </c>
    </row>
    <row r="20" spans="1:6" x14ac:dyDescent="0.2">
      <c r="A20" t="s">
        <v>255</v>
      </c>
      <c r="B20" t="s">
        <v>271</v>
      </c>
      <c r="C20" t="s">
        <v>257</v>
      </c>
      <c r="D20" t="s">
        <v>314</v>
      </c>
      <c r="E20" s="24">
        <v>68958.48</v>
      </c>
      <c r="F20" t="s">
        <v>386</v>
      </c>
    </row>
    <row r="21" spans="1:6" x14ac:dyDescent="0.2">
      <c r="A21" t="s">
        <v>255</v>
      </c>
      <c r="B21" t="s">
        <v>272</v>
      </c>
      <c r="C21" t="s">
        <v>257</v>
      </c>
      <c r="D21" t="s">
        <v>315</v>
      </c>
      <c r="E21" s="24">
        <v>17336.080000000002</v>
      </c>
      <c r="F21" t="s">
        <v>386</v>
      </c>
    </row>
    <row r="22" spans="1:6" x14ac:dyDescent="0.2">
      <c r="A22" t="s">
        <v>255</v>
      </c>
      <c r="B22" t="s">
        <v>273</v>
      </c>
      <c r="C22" t="s">
        <v>257</v>
      </c>
      <c r="D22" t="s">
        <v>312</v>
      </c>
      <c r="E22" s="24">
        <v>274567.2</v>
      </c>
      <c r="F22" t="s">
        <v>386</v>
      </c>
    </row>
    <row r="23" spans="1:6" x14ac:dyDescent="0.2">
      <c r="A23" t="s">
        <v>255</v>
      </c>
      <c r="B23" t="s">
        <v>274</v>
      </c>
      <c r="C23" t="s">
        <v>257</v>
      </c>
      <c r="D23" t="s">
        <v>326</v>
      </c>
      <c r="E23" s="24">
        <v>66089.37</v>
      </c>
      <c r="F23" t="s">
        <v>386</v>
      </c>
    </row>
    <row r="24" spans="1:6" x14ac:dyDescent="0.2">
      <c r="A24" t="s">
        <v>255</v>
      </c>
      <c r="B24" t="s">
        <v>275</v>
      </c>
      <c r="C24" t="s">
        <v>257</v>
      </c>
      <c r="D24" t="s">
        <v>327</v>
      </c>
      <c r="E24" s="24">
        <v>20675.43</v>
      </c>
      <c r="F24" t="s">
        <v>386</v>
      </c>
    </row>
    <row r="25" spans="1:6" x14ac:dyDescent="0.2">
      <c r="A25" t="s">
        <v>255</v>
      </c>
      <c r="B25" t="s">
        <v>276</v>
      </c>
      <c r="C25" t="s">
        <v>257</v>
      </c>
      <c r="D25" t="s">
        <v>329</v>
      </c>
      <c r="E25" s="24">
        <v>10701.06</v>
      </c>
      <c r="F25" t="s">
        <v>386</v>
      </c>
    </row>
    <row r="26" spans="1:6" x14ac:dyDescent="0.2">
      <c r="A26" t="s">
        <v>255</v>
      </c>
      <c r="B26" t="s">
        <v>277</v>
      </c>
      <c r="C26" t="s">
        <v>257</v>
      </c>
      <c r="D26" t="s">
        <v>331</v>
      </c>
      <c r="E26" s="24">
        <v>0</v>
      </c>
      <c r="F26" t="s">
        <v>386</v>
      </c>
    </row>
    <row r="27" spans="1:6" x14ac:dyDescent="0.2">
      <c r="A27" t="s">
        <v>255</v>
      </c>
      <c r="B27" t="s">
        <v>278</v>
      </c>
      <c r="C27" t="s">
        <v>257</v>
      </c>
      <c r="D27" t="s">
        <v>317</v>
      </c>
      <c r="E27" s="24">
        <v>4000</v>
      </c>
      <c r="F27" t="s">
        <v>386</v>
      </c>
    </row>
    <row r="28" spans="1:6" x14ac:dyDescent="0.2">
      <c r="A28" t="s">
        <v>255</v>
      </c>
      <c r="B28" t="s">
        <v>279</v>
      </c>
      <c r="C28" t="s">
        <v>257</v>
      </c>
      <c r="D28" t="s">
        <v>321</v>
      </c>
      <c r="E28" s="24">
        <v>20267.2</v>
      </c>
      <c r="F28" t="s">
        <v>386</v>
      </c>
    </row>
    <row r="29" spans="1:6" x14ac:dyDescent="0.2">
      <c r="A29" t="s">
        <v>255</v>
      </c>
      <c r="B29" t="s">
        <v>280</v>
      </c>
      <c r="C29" t="s">
        <v>257</v>
      </c>
      <c r="D29" t="s">
        <v>318</v>
      </c>
      <c r="E29" s="24">
        <v>597177.91</v>
      </c>
      <c r="F29" t="s">
        <v>386</v>
      </c>
    </row>
    <row r="30" spans="1:6" x14ac:dyDescent="0.2">
      <c r="A30" t="s">
        <v>255</v>
      </c>
      <c r="B30" t="s">
        <v>281</v>
      </c>
      <c r="C30" t="s">
        <v>257</v>
      </c>
      <c r="D30" t="s">
        <v>297</v>
      </c>
      <c r="E30" s="24">
        <v>0</v>
      </c>
      <c r="F30" t="s">
        <v>386</v>
      </c>
    </row>
    <row r="31" spans="1:6" x14ac:dyDescent="0.2">
      <c r="A31" t="s">
        <v>255</v>
      </c>
      <c r="B31" t="s">
        <v>282</v>
      </c>
      <c r="C31" t="s">
        <v>257</v>
      </c>
      <c r="D31" t="s">
        <v>306</v>
      </c>
      <c r="E31" s="24">
        <v>948787.71</v>
      </c>
      <c r="F31" t="s">
        <v>386</v>
      </c>
    </row>
    <row r="32" spans="1:6" x14ac:dyDescent="0.2">
      <c r="A32" t="s">
        <v>24</v>
      </c>
      <c r="B32" t="s">
        <v>283</v>
      </c>
      <c r="C32" t="s">
        <v>284</v>
      </c>
      <c r="D32" t="s">
        <v>298</v>
      </c>
      <c r="E32" s="24">
        <v>30840.85</v>
      </c>
      <c r="F32" t="s">
        <v>386</v>
      </c>
    </row>
    <row r="33" spans="1:6" x14ac:dyDescent="0.2">
      <c r="A33" t="s">
        <v>24</v>
      </c>
      <c r="B33" t="s">
        <v>285</v>
      </c>
      <c r="C33" t="s">
        <v>284</v>
      </c>
      <c r="D33" t="s">
        <v>299</v>
      </c>
      <c r="E33" s="24">
        <v>0</v>
      </c>
      <c r="F33" t="s">
        <v>386</v>
      </c>
    </row>
    <row r="34" spans="1:6" x14ac:dyDescent="0.2">
      <c r="A34" t="s">
        <v>24</v>
      </c>
      <c r="B34" t="s">
        <v>286</v>
      </c>
      <c r="C34" t="s">
        <v>284</v>
      </c>
      <c r="D34" t="s">
        <v>300</v>
      </c>
      <c r="E34" s="24">
        <v>1068805</v>
      </c>
      <c r="F34" t="s">
        <v>386</v>
      </c>
    </row>
    <row r="35" spans="1:6" x14ac:dyDescent="0.2">
      <c r="A35" t="s">
        <v>24</v>
      </c>
      <c r="B35" t="s">
        <v>287</v>
      </c>
      <c r="C35" t="s">
        <v>284</v>
      </c>
      <c r="D35" t="s">
        <v>301</v>
      </c>
      <c r="E35" s="24">
        <v>1096680</v>
      </c>
      <c r="F35" t="s">
        <v>386</v>
      </c>
    </row>
    <row r="36" spans="1:6" x14ac:dyDescent="0.2">
      <c r="A36" t="s">
        <v>24</v>
      </c>
      <c r="B36" t="s">
        <v>288</v>
      </c>
      <c r="C36" t="s">
        <v>284</v>
      </c>
      <c r="D36" t="s">
        <v>330</v>
      </c>
      <c r="E36" s="24">
        <v>1947358.6</v>
      </c>
      <c r="F36" t="s">
        <v>386</v>
      </c>
    </row>
    <row r="37" spans="1:6" x14ac:dyDescent="0.2">
      <c r="A37" t="s">
        <v>29</v>
      </c>
      <c r="B37" t="s">
        <v>289</v>
      </c>
      <c r="C37" t="s">
        <v>290</v>
      </c>
      <c r="D37" t="s">
        <v>302</v>
      </c>
      <c r="E37" s="24">
        <v>0</v>
      </c>
      <c r="F37" t="s">
        <v>386</v>
      </c>
    </row>
    <row r="38" spans="1:6" x14ac:dyDescent="0.2">
      <c r="A38" t="s">
        <v>29</v>
      </c>
      <c r="B38" t="s">
        <v>291</v>
      </c>
      <c r="C38" t="s">
        <v>290</v>
      </c>
      <c r="D38" t="s">
        <v>303</v>
      </c>
      <c r="E38" s="24">
        <v>0</v>
      </c>
      <c r="F38" t="s">
        <v>386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4" workbookViewId="0">
      <selection activeCell="F7" sqref="F7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bestFit="1" customWidth="1"/>
    <col min="4" max="4" width="81.140625" bestFit="1" customWidth="1"/>
    <col min="5" max="5" width="9.7109375" style="24" bestFit="1" customWidth="1"/>
    <col min="6" max="6" width="14.85546875" bestFit="1" customWidth="1"/>
  </cols>
  <sheetData>
    <row r="1" spans="1:6" x14ac:dyDescent="0.2">
      <c r="A1" t="s">
        <v>219</v>
      </c>
      <c r="B1" t="s">
        <v>191</v>
      </c>
      <c r="C1" t="s">
        <v>193</v>
      </c>
      <c r="D1" t="s">
        <v>194</v>
      </c>
      <c r="E1" s="24" t="s">
        <v>233</v>
      </c>
      <c r="F1" t="s">
        <v>96</v>
      </c>
    </row>
    <row r="2" spans="1:6" x14ac:dyDescent="0.2">
      <c r="A2" t="s">
        <v>0</v>
      </c>
      <c r="B2" t="s">
        <v>250</v>
      </c>
      <c r="C2" t="s">
        <v>251</v>
      </c>
      <c r="D2" t="s">
        <v>295</v>
      </c>
      <c r="E2" s="24">
        <v>0</v>
      </c>
      <c r="F2" t="s">
        <v>386</v>
      </c>
    </row>
    <row r="3" spans="1:6" x14ac:dyDescent="0.2">
      <c r="A3" t="s">
        <v>0</v>
      </c>
      <c r="B3" t="s">
        <v>252</v>
      </c>
      <c r="C3" t="s">
        <v>251</v>
      </c>
      <c r="D3" t="s">
        <v>325</v>
      </c>
      <c r="E3" s="24">
        <v>0</v>
      </c>
      <c r="F3" t="s">
        <v>386</v>
      </c>
    </row>
    <row r="4" spans="1:6" x14ac:dyDescent="0.2">
      <c r="A4" t="s">
        <v>0</v>
      </c>
      <c r="B4" t="s">
        <v>253</v>
      </c>
      <c r="C4" t="s">
        <v>251</v>
      </c>
      <c r="D4" t="s">
        <v>304</v>
      </c>
      <c r="E4" s="24">
        <v>0</v>
      </c>
      <c r="F4" t="s">
        <v>386</v>
      </c>
    </row>
    <row r="5" spans="1:6" x14ac:dyDescent="0.2">
      <c r="A5" t="s">
        <v>0</v>
      </c>
      <c r="B5" t="s">
        <v>254</v>
      </c>
      <c r="C5" t="s">
        <v>251</v>
      </c>
      <c r="D5" t="s">
        <v>296</v>
      </c>
      <c r="E5" s="24">
        <v>0</v>
      </c>
      <c r="F5" t="s">
        <v>386</v>
      </c>
    </row>
    <row r="6" spans="1:6" x14ac:dyDescent="0.2">
      <c r="A6" t="s">
        <v>255</v>
      </c>
      <c r="B6" t="s">
        <v>256</v>
      </c>
      <c r="C6" t="s">
        <v>257</v>
      </c>
      <c r="D6" t="s">
        <v>319</v>
      </c>
      <c r="E6" s="24">
        <v>0</v>
      </c>
      <c r="F6" t="s">
        <v>386</v>
      </c>
    </row>
    <row r="7" spans="1:6" x14ac:dyDescent="0.2">
      <c r="A7" t="s">
        <v>255</v>
      </c>
      <c r="B7" t="s">
        <v>258</v>
      </c>
      <c r="C7" t="s">
        <v>257</v>
      </c>
      <c r="D7" t="s">
        <v>323</v>
      </c>
      <c r="E7" s="24">
        <v>0</v>
      </c>
      <c r="F7" t="s">
        <v>386</v>
      </c>
    </row>
    <row r="8" spans="1:6" x14ac:dyDescent="0.2">
      <c r="A8" t="s">
        <v>255</v>
      </c>
      <c r="B8" t="s">
        <v>259</v>
      </c>
      <c r="C8" t="s">
        <v>257</v>
      </c>
      <c r="D8" t="s">
        <v>322</v>
      </c>
      <c r="E8" s="24">
        <v>0</v>
      </c>
      <c r="F8" t="s">
        <v>386</v>
      </c>
    </row>
    <row r="9" spans="1:6" x14ac:dyDescent="0.2">
      <c r="A9" t="s">
        <v>255</v>
      </c>
      <c r="B9" t="s">
        <v>260</v>
      </c>
      <c r="C9" t="s">
        <v>257</v>
      </c>
      <c r="D9" t="s">
        <v>332</v>
      </c>
      <c r="E9" s="24">
        <v>0</v>
      </c>
      <c r="F9" t="s">
        <v>386</v>
      </c>
    </row>
    <row r="10" spans="1:6" x14ac:dyDescent="0.2">
      <c r="A10" t="s">
        <v>255</v>
      </c>
      <c r="B10" t="s">
        <v>261</v>
      </c>
      <c r="C10" t="s">
        <v>257</v>
      </c>
      <c r="D10" t="s">
        <v>307</v>
      </c>
      <c r="E10" s="24">
        <v>0</v>
      </c>
      <c r="F10" t="s">
        <v>386</v>
      </c>
    </row>
    <row r="11" spans="1:6" x14ac:dyDescent="0.2">
      <c r="A11" t="s">
        <v>255</v>
      </c>
      <c r="B11" t="s">
        <v>262</v>
      </c>
      <c r="C11" t="s">
        <v>257</v>
      </c>
      <c r="D11" t="s">
        <v>308</v>
      </c>
      <c r="E11" s="24">
        <v>0</v>
      </c>
      <c r="F11" t="s">
        <v>386</v>
      </c>
    </row>
    <row r="12" spans="1:6" x14ac:dyDescent="0.2">
      <c r="A12" t="s">
        <v>255</v>
      </c>
      <c r="B12" t="s">
        <v>263</v>
      </c>
      <c r="C12" t="s">
        <v>257</v>
      </c>
      <c r="D12" t="s">
        <v>328</v>
      </c>
      <c r="E12" s="24">
        <v>0</v>
      </c>
      <c r="F12" t="s">
        <v>386</v>
      </c>
    </row>
    <row r="13" spans="1:6" x14ac:dyDescent="0.2">
      <c r="A13" t="s">
        <v>255</v>
      </c>
      <c r="B13" t="s">
        <v>264</v>
      </c>
      <c r="C13" t="s">
        <v>257</v>
      </c>
      <c r="D13" t="s">
        <v>313</v>
      </c>
      <c r="E13" s="24">
        <v>0</v>
      </c>
      <c r="F13" t="s">
        <v>386</v>
      </c>
    </row>
    <row r="14" spans="1:6" x14ac:dyDescent="0.2">
      <c r="A14" t="s">
        <v>255</v>
      </c>
      <c r="B14" t="s">
        <v>265</v>
      </c>
      <c r="C14" t="s">
        <v>257</v>
      </c>
      <c r="D14" t="s">
        <v>316</v>
      </c>
      <c r="E14" s="24">
        <v>0</v>
      </c>
      <c r="F14" t="s">
        <v>386</v>
      </c>
    </row>
    <row r="15" spans="1:6" x14ac:dyDescent="0.2">
      <c r="A15" t="s">
        <v>255</v>
      </c>
      <c r="B15" t="s">
        <v>266</v>
      </c>
      <c r="C15" t="s">
        <v>257</v>
      </c>
      <c r="D15" t="s">
        <v>309</v>
      </c>
      <c r="E15" s="24">
        <v>0</v>
      </c>
      <c r="F15" t="s">
        <v>386</v>
      </c>
    </row>
    <row r="16" spans="1:6" x14ac:dyDescent="0.2">
      <c r="A16" t="s">
        <v>255</v>
      </c>
      <c r="B16" t="s">
        <v>267</v>
      </c>
      <c r="C16" t="s">
        <v>257</v>
      </c>
      <c r="D16" t="s">
        <v>310</v>
      </c>
      <c r="E16" s="24">
        <v>0</v>
      </c>
      <c r="F16" t="s">
        <v>386</v>
      </c>
    </row>
    <row r="17" spans="1:6" x14ac:dyDescent="0.2">
      <c r="A17" t="s">
        <v>255</v>
      </c>
      <c r="B17" t="s">
        <v>268</v>
      </c>
      <c r="C17" t="s">
        <v>257</v>
      </c>
      <c r="D17" t="s">
        <v>305</v>
      </c>
      <c r="E17" s="24">
        <v>0</v>
      </c>
      <c r="F17" t="s">
        <v>386</v>
      </c>
    </row>
    <row r="18" spans="1:6" x14ac:dyDescent="0.2">
      <c r="A18" t="s">
        <v>255</v>
      </c>
      <c r="B18" t="s">
        <v>269</v>
      </c>
      <c r="C18" t="s">
        <v>257</v>
      </c>
      <c r="D18" t="s">
        <v>320</v>
      </c>
      <c r="E18" s="24">
        <v>0</v>
      </c>
      <c r="F18" t="s">
        <v>386</v>
      </c>
    </row>
    <row r="19" spans="1:6" x14ac:dyDescent="0.2">
      <c r="A19" t="s">
        <v>255</v>
      </c>
      <c r="B19" t="s">
        <v>270</v>
      </c>
      <c r="C19" t="s">
        <v>257</v>
      </c>
      <c r="D19" t="s">
        <v>311</v>
      </c>
      <c r="E19" s="24">
        <v>0</v>
      </c>
      <c r="F19" t="s">
        <v>386</v>
      </c>
    </row>
    <row r="20" spans="1:6" x14ac:dyDescent="0.2">
      <c r="A20" t="s">
        <v>255</v>
      </c>
      <c r="B20" t="s">
        <v>271</v>
      </c>
      <c r="C20" t="s">
        <v>257</v>
      </c>
      <c r="D20" t="s">
        <v>314</v>
      </c>
      <c r="E20" s="24">
        <v>0</v>
      </c>
      <c r="F20" t="s">
        <v>386</v>
      </c>
    </row>
    <row r="21" spans="1:6" x14ac:dyDescent="0.2">
      <c r="A21" t="s">
        <v>255</v>
      </c>
      <c r="B21" t="s">
        <v>272</v>
      </c>
      <c r="C21" t="s">
        <v>257</v>
      </c>
      <c r="D21" t="s">
        <v>315</v>
      </c>
      <c r="E21" s="24">
        <v>0</v>
      </c>
      <c r="F21" t="s">
        <v>386</v>
      </c>
    </row>
    <row r="22" spans="1:6" x14ac:dyDescent="0.2">
      <c r="A22" t="s">
        <v>255</v>
      </c>
      <c r="B22" t="s">
        <v>273</v>
      </c>
      <c r="C22" t="s">
        <v>257</v>
      </c>
      <c r="D22" t="s">
        <v>312</v>
      </c>
      <c r="E22" s="24">
        <v>0</v>
      </c>
      <c r="F22" t="s">
        <v>386</v>
      </c>
    </row>
    <row r="23" spans="1:6" x14ac:dyDescent="0.2">
      <c r="A23" t="s">
        <v>255</v>
      </c>
      <c r="B23" t="s">
        <v>274</v>
      </c>
      <c r="C23" t="s">
        <v>257</v>
      </c>
      <c r="D23" t="s">
        <v>326</v>
      </c>
      <c r="E23" s="24">
        <v>59910.06</v>
      </c>
      <c r="F23" t="s">
        <v>386</v>
      </c>
    </row>
    <row r="24" spans="1:6" x14ac:dyDescent="0.2">
      <c r="A24" t="s">
        <v>255</v>
      </c>
      <c r="B24" t="s">
        <v>275</v>
      </c>
      <c r="C24" t="s">
        <v>257</v>
      </c>
      <c r="D24" t="s">
        <v>327</v>
      </c>
      <c r="E24" s="24">
        <v>0</v>
      </c>
      <c r="F24" t="s">
        <v>386</v>
      </c>
    </row>
    <row r="25" spans="1:6" x14ac:dyDescent="0.2">
      <c r="A25" t="s">
        <v>255</v>
      </c>
      <c r="B25" t="s">
        <v>276</v>
      </c>
      <c r="C25" t="s">
        <v>257</v>
      </c>
      <c r="D25" t="s">
        <v>329</v>
      </c>
      <c r="E25" s="24">
        <v>0</v>
      </c>
      <c r="F25" t="s">
        <v>386</v>
      </c>
    </row>
    <row r="26" spans="1:6" x14ac:dyDescent="0.2">
      <c r="A26" t="s">
        <v>255</v>
      </c>
      <c r="B26" t="s">
        <v>277</v>
      </c>
      <c r="C26" t="s">
        <v>257</v>
      </c>
      <c r="D26" t="s">
        <v>331</v>
      </c>
      <c r="E26" s="24">
        <v>0</v>
      </c>
      <c r="F26" t="s">
        <v>386</v>
      </c>
    </row>
    <row r="27" spans="1:6" x14ac:dyDescent="0.2">
      <c r="A27" t="s">
        <v>255</v>
      </c>
      <c r="B27" t="s">
        <v>278</v>
      </c>
      <c r="C27" t="s">
        <v>257</v>
      </c>
      <c r="D27" t="s">
        <v>317</v>
      </c>
      <c r="E27" s="24">
        <v>0</v>
      </c>
      <c r="F27" t="s">
        <v>386</v>
      </c>
    </row>
    <row r="28" spans="1:6" x14ac:dyDescent="0.2">
      <c r="A28" t="s">
        <v>255</v>
      </c>
      <c r="B28" t="s">
        <v>279</v>
      </c>
      <c r="C28" t="s">
        <v>257</v>
      </c>
      <c r="D28" t="s">
        <v>321</v>
      </c>
      <c r="E28" s="24">
        <v>0</v>
      </c>
      <c r="F28" t="s">
        <v>386</v>
      </c>
    </row>
    <row r="29" spans="1:6" x14ac:dyDescent="0.2">
      <c r="A29" t="s">
        <v>255</v>
      </c>
      <c r="B29" t="s">
        <v>280</v>
      </c>
      <c r="C29" t="s">
        <v>257</v>
      </c>
      <c r="D29" t="s">
        <v>318</v>
      </c>
      <c r="E29" s="24">
        <v>0</v>
      </c>
      <c r="F29" t="s">
        <v>386</v>
      </c>
    </row>
    <row r="30" spans="1:6" x14ac:dyDescent="0.2">
      <c r="A30" t="s">
        <v>255</v>
      </c>
      <c r="B30" t="s">
        <v>281</v>
      </c>
      <c r="C30" t="s">
        <v>257</v>
      </c>
      <c r="D30" t="s">
        <v>333</v>
      </c>
      <c r="E30" s="24">
        <v>0</v>
      </c>
      <c r="F30" t="s">
        <v>386</v>
      </c>
    </row>
    <row r="31" spans="1:6" x14ac:dyDescent="0.2">
      <c r="A31" t="s">
        <v>255</v>
      </c>
      <c r="B31" t="s">
        <v>282</v>
      </c>
      <c r="C31" t="s">
        <v>257</v>
      </c>
      <c r="D31" t="s">
        <v>306</v>
      </c>
      <c r="E31" s="24">
        <v>0.01</v>
      </c>
      <c r="F31" t="s">
        <v>386</v>
      </c>
    </row>
    <row r="32" spans="1:6" x14ac:dyDescent="0.2">
      <c r="A32" t="s">
        <v>24</v>
      </c>
      <c r="B32" t="s">
        <v>283</v>
      </c>
      <c r="C32" t="s">
        <v>284</v>
      </c>
      <c r="D32" t="s">
        <v>298</v>
      </c>
      <c r="E32" s="24">
        <v>0</v>
      </c>
      <c r="F32" t="s">
        <v>386</v>
      </c>
    </row>
    <row r="33" spans="1:6" x14ac:dyDescent="0.2">
      <c r="A33" t="s">
        <v>24</v>
      </c>
      <c r="B33" t="s">
        <v>285</v>
      </c>
      <c r="C33" t="s">
        <v>284</v>
      </c>
      <c r="D33" t="s">
        <v>299</v>
      </c>
      <c r="E33" s="24">
        <v>0</v>
      </c>
      <c r="F33" t="s">
        <v>386</v>
      </c>
    </row>
    <row r="34" spans="1:6" x14ac:dyDescent="0.2">
      <c r="A34" t="s">
        <v>24</v>
      </c>
      <c r="B34" t="s">
        <v>286</v>
      </c>
      <c r="C34" t="s">
        <v>284</v>
      </c>
      <c r="D34" t="s">
        <v>300</v>
      </c>
      <c r="E34" s="24">
        <v>0</v>
      </c>
      <c r="F34" t="s">
        <v>386</v>
      </c>
    </row>
    <row r="35" spans="1:6" x14ac:dyDescent="0.2">
      <c r="A35" t="s">
        <v>24</v>
      </c>
      <c r="B35" t="s">
        <v>287</v>
      </c>
      <c r="C35" t="s">
        <v>284</v>
      </c>
      <c r="D35" t="s">
        <v>301</v>
      </c>
      <c r="E35" s="24">
        <v>0</v>
      </c>
      <c r="F35" t="s">
        <v>386</v>
      </c>
    </row>
    <row r="36" spans="1:6" x14ac:dyDescent="0.2">
      <c r="A36" t="s">
        <v>24</v>
      </c>
      <c r="B36" t="s">
        <v>288</v>
      </c>
      <c r="C36" t="s">
        <v>284</v>
      </c>
      <c r="D36" t="s">
        <v>330</v>
      </c>
      <c r="E36" s="24">
        <v>0</v>
      </c>
      <c r="F36" t="s">
        <v>386</v>
      </c>
    </row>
    <row r="37" spans="1:6" x14ac:dyDescent="0.2">
      <c r="A37" t="s">
        <v>29</v>
      </c>
      <c r="B37" t="s">
        <v>289</v>
      </c>
      <c r="C37" t="s">
        <v>290</v>
      </c>
      <c r="D37" t="s">
        <v>302</v>
      </c>
      <c r="E37" s="24">
        <v>0</v>
      </c>
      <c r="F37" t="s">
        <v>386</v>
      </c>
    </row>
    <row r="38" spans="1:6" x14ac:dyDescent="0.2">
      <c r="A38" t="s">
        <v>29</v>
      </c>
      <c r="B38" t="s">
        <v>291</v>
      </c>
      <c r="C38" t="s">
        <v>290</v>
      </c>
      <c r="D38" t="s">
        <v>303</v>
      </c>
      <c r="E38" s="24">
        <v>0</v>
      </c>
      <c r="F38" t="s">
        <v>386</v>
      </c>
    </row>
  </sheetData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E76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21.85546875" style="59" customWidth="1"/>
    <col min="5" max="5" width="13.85546875" style="59" bestFit="1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">
        <v>221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">
        <v>222</v>
      </c>
      <c r="C6" s="107"/>
    </row>
    <row r="7" spans="1:3" x14ac:dyDescent="0.2">
      <c r="A7" s="2" t="s">
        <v>36</v>
      </c>
      <c r="B7" s="104" t="s">
        <v>357</v>
      </c>
      <c r="C7" s="105"/>
    </row>
    <row r="8" spans="1:3" x14ac:dyDescent="0.2">
      <c r="A8" s="2" t="s">
        <v>37</v>
      </c>
      <c r="B8" s="106">
        <v>42844</v>
      </c>
      <c r="C8" s="107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Access'!G2+'Despesa - Access Emag'!G2</f>
        <v>28224676.600000001</v>
      </c>
    </row>
    <row r="14" spans="1:3" x14ac:dyDescent="0.2">
      <c r="A14" s="2" t="s">
        <v>41</v>
      </c>
      <c r="B14" s="5" t="s">
        <v>2</v>
      </c>
      <c r="C14" s="10">
        <f>'Despesa - Access'!G3+'Despesa - Access Emag'!G3</f>
        <v>7518298.4000000004</v>
      </c>
    </row>
    <row r="15" spans="1:3" x14ac:dyDescent="0.2">
      <c r="A15" s="2" t="s">
        <v>42</v>
      </c>
      <c r="B15" s="5" t="s">
        <v>234</v>
      </c>
      <c r="C15" s="10">
        <f>'Despesa - Access'!G4+'Despesa - Access Emag'!G4</f>
        <v>5060788.33</v>
      </c>
    </row>
    <row r="16" spans="1:3" ht="51" x14ac:dyDescent="0.2">
      <c r="A16" s="6" t="s">
        <v>43</v>
      </c>
      <c r="B16" s="5" t="s">
        <v>242</v>
      </c>
      <c r="C16" s="10">
        <f>'Despesa - Access'!G5+'Despesa - Access Emag'!G5</f>
        <v>0</v>
      </c>
    </row>
    <row r="17" spans="1:5" x14ac:dyDescent="0.2">
      <c r="A17" s="103" t="s">
        <v>71</v>
      </c>
      <c r="B17" s="103"/>
      <c r="C17" s="10">
        <f>SUM(C13:C16)</f>
        <v>40803763.329999998</v>
      </c>
      <c r="D17" s="59">
        <f>40803763.33+0</f>
        <v>40803763.329999998</v>
      </c>
      <c r="E17" s="59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Access'!G6+'Despesa - Access Emag'!G6</f>
        <v>127964.69</v>
      </c>
    </row>
    <row r="23" spans="1:5" x14ac:dyDescent="0.2">
      <c r="A23" s="2" t="s">
        <v>41</v>
      </c>
      <c r="B23" s="2" t="s">
        <v>4</v>
      </c>
      <c r="C23" s="10">
        <f>'Despesa - Access'!G7+'Despesa - Access Emag'!G7</f>
        <v>1621658.07</v>
      </c>
    </row>
    <row r="24" spans="1:5" x14ac:dyDescent="0.2">
      <c r="A24" s="2" t="s">
        <v>42</v>
      </c>
      <c r="B24" s="2" t="s">
        <v>5</v>
      </c>
      <c r="C24" s="10">
        <f>'Despesa - Access'!G8+'Despesa - Access Emag'!G8</f>
        <v>172653</v>
      </c>
    </row>
    <row r="25" spans="1:5" x14ac:dyDescent="0.2">
      <c r="A25" s="2" t="s">
        <v>43</v>
      </c>
      <c r="B25" s="2" t="s">
        <v>6</v>
      </c>
      <c r="C25" s="10">
        <f>'Despesa - Access'!G9+'Despesa - Access Emag'!G9</f>
        <v>1130960.57</v>
      </c>
    </row>
    <row r="26" spans="1:5" x14ac:dyDescent="0.2">
      <c r="A26" s="2" t="s">
        <v>45</v>
      </c>
      <c r="B26" s="2" t="s">
        <v>7</v>
      </c>
      <c r="C26" s="10">
        <f>'Despesa - Access'!G10+'Despesa - Access Emag'!G10</f>
        <v>129585.71</v>
      </c>
    </row>
    <row r="27" spans="1:5" x14ac:dyDescent="0.2">
      <c r="A27" s="2" t="s">
        <v>46</v>
      </c>
      <c r="B27" s="2" t="s">
        <v>68</v>
      </c>
      <c r="C27" s="10">
        <f>'Despesa - Access'!G11+'Despesa - Access Emag'!G11</f>
        <v>25540.420000000002</v>
      </c>
    </row>
    <row r="28" spans="1:5" x14ac:dyDescent="0.2">
      <c r="A28" s="2" t="s">
        <v>47</v>
      </c>
      <c r="B28" s="2" t="s">
        <v>8</v>
      </c>
      <c r="C28" s="10">
        <f>'Despesa - Access'!G12+'Despesa - Access Emag'!G12</f>
        <v>209290.57</v>
      </c>
    </row>
    <row r="29" spans="1:5" x14ac:dyDescent="0.2">
      <c r="A29" s="2" t="s">
        <v>48</v>
      </c>
      <c r="B29" s="2" t="s">
        <v>9</v>
      </c>
      <c r="C29" s="10">
        <f>'Despesa - Access'!G13+'Despesa - Access Emag'!G13</f>
        <v>337418</v>
      </c>
    </row>
    <row r="30" spans="1:5" x14ac:dyDescent="0.2">
      <c r="A30" s="2" t="s">
        <v>49</v>
      </c>
      <c r="B30" s="2" t="s">
        <v>10</v>
      </c>
      <c r="C30" s="10">
        <f>'Despesa - Access'!G14+'Despesa - Access Emag'!G14</f>
        <v>109312.98</v>
      </c>
    </row>
    <row r="31" spans="1:5" x14ac:dyDescent="0.2">
      <c r="A31" s="2" t="s">
        <v>50</v>
      </c>
      <c r="B31" s="2" t="s">
        <v>11</v>
      </c>
      <c r="C31" s="10">
        <f>'Despesa - Access'!G15+'Despesa - Access Emag'!G15</f>
        <v>274867.49</v>
      </c>
    </row>
    <row r="32" spans="1:5" x14ac:dyDescent="0.2">
      <c r="A32" s="2" t="s">
        <v>51</v>
      </c>
      <c r="B32" s="2" t="s">
        <v>12</v>
      </c>
      <c r="C32" s="10">
        <f>'Despesa - Access'!G16+'Despesa - Access Emag'!G16</f>
        <v>7059.9</v>
      </c>
    </row>
    <row r="33" spans="1:5" x14ac:dyDescent="0.2">
      <c r="A33" s="2" t="s">
        <v>52</v>
      </c>
      <c r="B33" s="2" t="s">
        <v>13</v>
      </c>
      <c r="C33" s="10">
        <f>'Despesa - Access'!G17+'Despesa - Access Emag'!G17</f>
        <v>165414.59</v>
      </c>
    </row>
    <row r="34" spans="1:5" ht="63.75" x14ac:dyDescent="0.2">
      <c r="A34" s="6" t="s">
        <v>53</v>
      </c>
      <c r="B34" s="7" t="s">
        <v>246</v>
      </c>
      <c r="C34" s="10">
        <f>'Despesa - Access'!G18+'Despesa - Access Emag'!G18</f>
        <v>221814</v>
      </c>
    </row>
    <row r="35" spans="1:5" x14ac:dyDescent="0.2">
      <c r="A35" s="2" t="s">
        <v>54</v>
      </c>
      <c r="B35" s="2" t="s">
        <v>14</v>
      </c>
      <c r="C35" s="10">
        <f>'Despesa - Access'!G19+'Despesa - Access Emag'!G19</f>
        <v>402509.01</v>
      </c>
    </row>
    <row r="36" spans="1:5" x14ac:dyDescent="0.2">
      <c r="A36" s="2" t="s">
        <v>55</v>
      </c>
      <c r="B36" s="2" t="s">
        <v>236</v>
      </c>
      <c r="C36" s="10">
        <f>'Despesa - Access'!G20+'Despesa - Access Emag'!G20</f>
        <v>186017.92000000001</v>
      </c>
    </row>
    <row r="37" spans="1:5" x14ac:dyDescent="0.2">
      <c r="A37" s="2" t="s">
        <v>56</v>
      </c>
      <c r="B37" s="2" t="s">
        <v>15</v>
      </c>
      <c r="C37" s="10">
        <f>'Despesa - Access'!G21+'Despesa - Access Emag'!G21</f>
        <v>2725.27</v>
      </c>
    </row>
    <row r="38" spans="1:5" ht="25.5" x14ac:dyDescent="0.2">
      <c r="A38" s="6" t="s">
        <v>57</v>
      </c>
      <c r="B38" s="26" t="s">
        <v>69</v>
      </c>
      <c r="C38" s="10">
        <f>'Despesa - Access'!G22+'Despesa - Access Emag'!G22</f>
        <v>711992.18</v>
      </c>
    </row>
    <row r="39" spans="1:5" x14ac:dyDescent="0.2">
      <c r="A39" s="2" t="s">
        <v>58</v>
      </c>
      <c r="B39" s="2" t="s">
        <v>16</v>
      </c>
      <c r="C39" s="10">
        <f>'Despesa - Access'!G23+'Despesa - Access Emag'!G23</f>
        <v>7353.05</v>
      </c>
    </row>
    <row r="40" spans="1:5" x14ac:dyDescent="0.2">
      <c r="A40" s="2" t="s">
        <v>59</v>
      </c>
      <c r="B40" s="2" t="s">
        <v>17</v>
      </c>
      <c r="C40" s="10">
        <f>'Despesa - Access'!G24+'Despesa - Access Emag'!G24</f>
        <v>2495.77</v>
      </c>
    </row>
    <row r="41" spans="1:5" x14ac:dyDescent="0.2">
      <c r="A41" s="2" t="s">
        <v>60</v>
      </c>
      <c r="B41" s="2" t="s">
        <v>18</v>
      </c>
      <c r="C41" s="10">
        <f>'Despesa - Access'!G25+'Despesa - Access Emag'!G25</f>
        <v>0</v>
      </c>
    </row>
    <row r="42" spans="1:5" x14ac:dyDescent="0.2">
      <c r="A42" s="2" t="s">
        <v>61</v>
      </c>
      <c r="B42" s="2" t="s">
        <v>19</v>
      </c>
      <c r="C42" s="10">
        <f>'Despesa - Access'!G26+'Despesa - Access Emag'!G26</f>
        <v>15000</v>
      </c>
    </row>
    <row r="43" spans="1:5" x14ac:dyDescent="0.2">
      <c r="A43" s="2" t="s">
        <v>62</v>
      </c>
      <c r="B43" s="2" t="s">
        <v>20</v>
      </c>
      <c r="C43" s="10">
        <f>'Despesa - Access'!G27+'Despesa - Access Emag'!G27</f>
        <v>13528.02</v>
      </c>
    </row>
    <row r="44" spans="1:5" x14ac:dyDescent="0.2">
      <c r="A44" s="2" t="s">
        <v>63</v>
      </c>
      <c r="B44" s="2" t="s">
        <v>21</v>
      </c>
      <c r="C44" s="10">
        <f>'Despesa - Access'!G28+'Despesa - Access Emag'!G28</f>
        <v>14128.62</v>
      </c>
    </row>
    <row r="45" spans="1:5" x14ac:dyDescent="0.2">
      <c r="A45" s="2" t="s">
        <v>64</v>
      </c>
      <c r="B45" s="2" t="s">
        <v>70</v>
      </c>
      <c r="C45" s="10">
        <f>'Despesa - Access'!G29+'Despesa - Access Emag'!G29</f>
        <v>15518.96</v>
      </c>
    </row>
    <row r="46" spans="1:5" x14ac:dyDescent="0.2">
      <c r="A46" s="2" t="s">
        <v>65</v>
      </c>
      <c r="B46" s="2" t="s">
        <v>22</v>
      </c>
      <c r="C46" s="10">
        <f>'Despesa - Access'!G30+'Despesa - Access Emag'!G30</f>
        <v>0</v>
      </c>
    </row>
    <row r="47" spans="1:5" x14ac:dyDescent="0.2">
      <c r="A47" s="2" t="s">
        <v>66</v>
      </c>
      <c r="B47" s="2" t="s">
        <v>23</v>
      </c>
      <c r="C47" s="10">
        <f>'Despesa - Access'!G31+'Despesa - Access Emag'!G31</f>
        <v>980956.46</v>
      </c>
    </row>
    <row r="48" spans="1:5" x14ac:dyDescent="0.2">
      <c r="A48" s="103" t="s">
        <v>71</v>
      </c>
      <c r="B48" s="103"/>
      <c r="C48" s="10">
        <f>SUM(C22:C47)</f>
        <v>6885765.2499999981</v>
      </c>
      <c r="D48" s="74">
        <f>6884487.24+1278.01</f>
        <v>6885765.25</v>
      </c>
      <c r="E48" s="59">
        <f>+C48-D48</f>
        <v>0</v>
      </c>
    </row>
    <row r="50" spans="1:3" x14ac:dyDescent="0.2">
      <c r="A50" s="4" t="s">
        <v>226</v>
      </c>
    </row>
    <row r="52" spans="1:3" x14ac:dyDescent="0.2">
      <c r="A52" s="3" t="s">
        <v>38</v>
      </c>
      <c r="B52" s="3" t="s">
        <v>39</v>
      </c>
      <c r="C52" s="11" t="s">
        <v>244</v>
      </c>
    </row>
    <row r="53" spans="1:3" x14ac:dyDescent="0.2">
      <c r="A53" s="2" t="s">
        <v>40</v>
      </c>
      <c r="B53" s="2" t="s">
        <v>25</v>
      </c>
      <c r="C53" s="10">
        <f>'Despesa - Access'!G32+'Despesa - Access Emag'!G32</f>
        <v>0</v>
      </c>
    </row>
    <row r="54" spans="1:3" x14ac:dyDescent="0.2">
      <c r="A54" s="2" t="s">
        <v>41</v>
      </c>
      <c r="B54" s="2" t="s">
        <v>26</v>
      </c>
      <c r="C54" s="10">
        <f>'Despesa - Access'!G33+'Despesa - Access Emag'!G33</f>
        <v>0</v>
      </c>
    </row>
    <row r="55" spans="1:3" x14ac:dyDescent="0.2">
      <c r="A55" s="2" t="s">
        <v>42</v>
      </c>
      <c r="B55" s="2" t="s">
        <v>67</v>
      </c>
      <c r="C55" s="10">
        <f>'Despesa - Access'!G34+'Despesa - Access Emag'!G34</f>
        <v>0</v>
      </c>
    </row>
    <row r="56" spans="1:3" x14ac:dyDescent="0.2">
      <c r="A56" s="2" t="s">
        <v>43</v>
      </c>
      <c r="B56" s="2" t="s">
        <v>27</v>
      </c>
      <c r="C56" s="10">
        <f>'Despesa - Access'!G35+'Despesa - Access Emag'!G35</f>
        <v>0</v>
      </c>
    </row>
    <row r="57" spans="1:3" x14ac:dyDescent="0.2">
      <c r="A57" s="2" t="s">
        <v>45</v>
      </c>
      <c r="B57" s="2" t="s">
        <v>28</v>
      </c>
      <c r="C57" s="10">
        <f>'Despesa - Access'!G36+'Despesa - Access Emag'!G36</f>
        <v>0</v>
      </c>
    </row>
    <row r="58" spans="1:3" x14ac:dyDescent="0.2">
      <c r="A58" s="103" t="s">
        <v>71</v>
      </c>
      <c r="B58" s="103"/>
      <c r="C58" s="10">
        <f>SUM(C53:C57)</f>
        <v>0</v>
      </c>
    </row>
    <row r="60" spans="1:3" x14ac:dyDescent="0.2">
      <c r="A60" s="4" t="s">
        <v>73</v>
      </c>
    </row>
    <row r="62" spans="1:3" x14ac:dyDescent="0.2">
      <c r="A62" s="3" t="s">
        <v>38</v>
      </c>
      <c r="B62" s="3" t="s">
        <v>39</v>
      </c>
      <c r="C62" s="11" t="s">
        <v>235</v>
      </c>
    </row>
    <row r="63" spans="1:3" x14ac:dyDescent="0.2">
      <c r="A63" s="2" t="s">
        <v>40</v>
      </c>
      <c r="B63" s="2" t="s">
        <v>30</v>
      </c>
      <c r="C63" s="10">
        <f>'Despesa - Access'!G37+'Despesa - Access Emag'!G37</f>
        <v>0</v>
      </c>
    </row>
    <row r="64" spans="1:3" x14ac:dyDescent="0.2">
      <c r="A64" s="2" t="s">
        <v>41</v>
      </c>
      <c r="B64" s="2" t="s">
        <v>31</v>
      </c>
      <c r="C64" s="10">
        <f>'Despesa - Access'!G38+'Despesa - Access Emag'!G38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Access'!G2+'Financeiro - Access Emag'!G2</f>
        <v>40767502.770000003</v>
      </c>
    </row>
    <row r="71" spans="1:3" x14ac:dyDescent="0.2">
      <c r="A71" s="2" t="s">
        <v>41</v>
      </c>
      <c r="B71" s="2" t="s">
        <v>76</v>
      </c>
      <c r="C71" s="9">
        <f>'Financeiro - Access'!G3+'Financeiro - Access Emag'!G3</f>
        <v>8971578.3000000007</v>
      </c>
    </row>
    <row r="72" spans="1:3" x14ac:dyDescent="0.2">
      <c r="A72" s="2" t="s">
        <v>42</v>
      </c>
      <c r="B72" s="2" t="s">
        <v>215</v>
      </c>
      <c r="C72" s="9">
        <f>'Financeiro - Access'!G4+'Financeiro - Access Emag'!G4</f>
        <v>200000</v>
      </c>
    </row>
    <row r="73" spans="1:3" x14ac:dyDescent="0.2">
      <c r="A73" s="2" t="s">
        <v>43</v>
      </c>
      <c r="B73" s="2" t="s">
        <v>238</v>
      </c>
      <c r="C73" s="9">
        <f>'Financeiro - Access'!G5+'Financeiro - Access Emag'!G5</f>
        <v>0</v>
      </c>
    </row>
    <row r="74" spans="1:3" x14ac:dyDescent="0.2">
      <c r="A74" s="103" t="s">
        <v>71</v>
      </c>
      <c r="B74" s="103"/>
      <c r="C74" s="10">
        <f>SUM(C70:C73)</f>
        <v>49939081.070000008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9" t="s">
        <v>293</v>
      </c>
      <c r="B84" s="119"/>
      <c r="C84" s="119"/>
    </row>
    <row r="85" spans="1:5" x14ac:dyDescent="0.2">
      <c r="A85" s="119" t="s">
        <v>381</v>
      </c>
      <c r="B85" s="119"/>
      <c r="C85" s="119"/>
    </row>
    <row r="86" spans="1:5" x14ac:dyDescent="0.2">
      <c r="A86" s="115"/>
      <c r="B86" s="126"/>
      <c r="C86" s="126"/>
    </row>
    <row r="87" spans="1:5" x14ac:dyDescent="0.2">
      <c r="A87" s="127"/>
      <c r="B87" s="127"/>
      <c r="C87" s="127"/>
    </row>
    <row r="88" spans="1:5" x14ac:dyDescent="0.2">
      <c r="A88" s="115"/>
      <c r="B88" s="126"/>
      <c r="C88" s="126"/>
    </row>
    <row r="89" spans="1:5" x14ac:dyDescent="0.2">
      <c r="A89" s="109" t="s">
        <v>99</v>
      </c>
      <c r="B89" s="109"/>
      <c r="C89" s="109"/>
      <c r="D89" s="109"/>
      <c r="E89" s="109"/>
    </row>
    <row r="90" spans="1:5" x14ac:dyDescent="0.2">
      <c r="A90" s="64"/>
      <c r="B90" s="64"/>
      <c r="C90" s="64"/>
    </row>
    <row r="91" spans="1:5" x14ac:dyDescent="0.2">
      <c r="C91" s="11" t="s">
        <v>102</v>
      </c>
      <c r="D91" s="76" t="s">
        <v>101</v>
      </c>
      <c r="E91" s="76" t="s">
        <v>71</v>
      </c>
    </row>
    <row r="92" spans="1:5" x14ac:dyDescent="0.2">
      <c r="A92" s="112"/>
      <c r="B92" s="111"/>
      <c r="C92" s="9">
        <v>0</v>
      </c>
      <c r="D92" s="78">
        <v>0</v>
      </c>
      <c r="E92" s="78">
        <f>C92-D92</f>
        <v>0</v>
      </c>
    </row>
    <row r="93" spans="1:5" x14ac:dyDescent="0.2">
      <c r="A93" s="125" t="s">
        <v>343</v>
      </c>
      <c r="B93" s="111"/>
      <c r="C93" s="9">
        <f>156795403.75</f>
        <v>156795403.75</v>
      </c>
      <c r="D93" s="78">
        <f>'Anexo I - Fev'!C92</f>
        <v>109107153.18000001</v>
      </c>
      <c r="E93" s="78">
        <f>C93-D93</f>
        <v>47688250.569999993</v>
      </c>
    </row>
    <row r="94" spans="1:5" x14ac:dyDescent="0.2">
      <c r="A94" s="125" t="s">
        <v>344</v>
      </c>
      <c r="B94" s="111"/>
      <c r="C94" s="9">
        <v>1278.01</v>
      </c>
      <c r="D94" s="78">
        <f>'Anexo I - Fev'!C93</f>
        <v>14763.87</v>
      </c>
      <c r="E94" s="78">
        <f>C94-D94</f>
        <v>-13485.86</v>
      </c>
    </row>
    <row r="95" spans="1:5" x14ac:dyDescent="0.2">
      <c r="A95" s="112" t="s">
        <v>97</v>
      </c>
      <c r="B95" s="120"/>
      <c r="C95" s="120"/>
      <c r="D95" s="111"/>
      <c r="E95" s="79">
        <f>SUM(E92:E94)</f>
        <v>47674764.709999993</v>
      </c>
    </row>
    <row r="96" spans="1:5" x14ac:dyDescent="0.2">
      <c r="A96" s="112" t="s">
        <v>98</v>
      </c>
      <c r="B96" s="120"/>
      <c r="C96" s="120"/>
      <c r="D96" s="111"/>
      <c r="E96" s="79">
        <f>C17+C48+C58+C65</f>
        <v>47689528.579999998</v>
      </c>
    </row>
    <row r="98" spans="4:6" x14ac:dyDescent="0.2">
      <c r="D98" s="90" t="s">
        <v>337</v>
      </c>
      <c r="E98" s="81">
        <f>47688250.57+1278.01</f>
        <v>47689528.579999998</v>
      </c>
    </row>
    <row r="99" spans="4:6" x14ac:dyDescent="0.2">
      <c r="E99" s="82" t="str">
        <f>IF(E96=E98,"Despesa Ok","Diferença")</f>
        <v>Despesa Ok</v>
      </c>
      <c r="F99" s="8"/>
    </row>
    <row r="100" spans="4:6" x14ac:dyDescent="0.2">
      <c r="E100" s="59">
        <f>E96-E98</f>
        <v>0</v>
      </c>
      <c r="F100" s="60" t="s">
        <v>338</v>
      </c>
    </row>
  </sheetData>
  <mergeCells count="24">
    <mergeCell ref="A96:D96"/>
    <mergeCell ref="A17:B17"/>
    <mergeCell ref="A92:B92"/>
    <mergeCell ref="A93:B93"/>
    <mergeCell ref="A94:B94"/>
    <mergeCell ref="A95:D95"/>
    <mergeCell ref="A85:C85"/>
    <mergeCell ref="A86:C86"/>
    <mergeCell ref="A89:E89"/>
    <mergeCell ref="A88:C88"/>
    <mergeCell ref="A87:C87"/>
    <mergeCell ref="A84:C84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view="pageBreakPreview" topLeftCell="A67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8.7109375" style="54" customWidth="1"/>
    <col min="5" max="5" width="15.7109375" style="54" customWidth="1"/>
    <col min="6" max="6" width="10.7109375" bestFit="1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">
        <v>221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">
        <v>222</v>
      </c>
      <c r="C6" s="107"/>
    </row>
    <row r="7" spans="1:3" x14ac:dyDescent="0.2">
      <c r="A7" s="2" t="s">
        <v>36</v>
      </c>
      <c r="B7" s="122" t="s">
        <v>359</v>
      </c>
      <c r="C7" s="123"/>
    </row>
    <row r="8" spans="1:3" x14ac:dyDescent="0.2">
      <c r="A8" s="2" t="s">
        <v>37</v>
      </c>
      <c r="B8" s="124">
        <v>42874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Access'!H2+'Despesa - Access Emag'!H2</f>
        <v>29526699.609999999</v>
      </c>
    </row>
    <row r="14" spans="1:3" x14ac:dyDescent="0.2">
      <c r="A14" s="2" t="s">
        <v>41</v>
      </c>
      <c r="B14" s="5" t="s">
        <v>2</v>
      </c>
      <c r="C14" s="10">
        <f>'Despesa - Access'!H3+'Despesa - Access Emag'!H3</f>
        <v>7842385.8899999997</v>
      </c>
    </row>
    <row r="15" spans="1:3" x14ac:dyDescent="0.2">
      <c r="A15" s="2" t="s">
        <v>42</v>
      </c>
      <c r="B15" s="5" t="s">
        <v>234</v>
      </c>
      <c r="C15" s="10">
        <f>'Despesa - Access'!H4+'Despesa - Access Emag'!H4</f>
        <v>4865077.22</v>
      </c>
    </row>
    <row r="16" spans="1:3" ht="51" x14ac:dyDescent="0.2">
      <c r="A16" s="6" t="s">
        <v>43</v>
      </c>
      <c r="B16" s="5" t="s">
        <v>242</v>
      </c>
      <c r="C16" s="10">
        <v>389.07</v>
      </c>
    </row>
    <row r="17" spans="1:5" x14ac:dyDescent="0.2">
      <c r="A17" s="103" t="s">
        <v>71</v>
      </c>
      <c r="B17" s="103"/>
      <c r="C17" s="10">
        <f>SUM(C13:C16)</f>
        <v>42234551.789999999</v>
      </c>
      <c r="D17" s="54">
        <v>42234162.719999999</v>
      </c>
      <c r="E17" s="54">
        <f>+C17-D17</f>
        <v>389.07000000029802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Access'!H6+'Despesa - Access Emag'!H6</f>
        <v>94029.43</v>
      </c>
    </row>
    <row r="23" spans="1:5" x14ac:dyDescent="0.2">
      <c r="A23" s="2" t="s">
        <v>41</v>
      </c>
      <c r="B23" s="2" t="s">
        <v>4</v>
      </c>
      <c r="C23" s="10">
        <f>'Despesa - Access'!H7+'Despesa - Access Emag'!H7</f>
        <v>1611009.31</v>
      </c>
    </row>
    <row r="24" spans="1:5" x14ac:dyDescent="0.2">
      <c r="A24" s="2" t="s">
        <v>42</v>
      </c>
      <c r="B24" s="2" t="s">
        <v>5</v>
      </c>
      <c r="C24" s="10">
        <f>'Despesa - Access'!H8+'Despesa - Access Emag'!H8</f>
        <v>171954</v>
      </c>
    </row>
    <row r="25" spans="1:5" x14ac:dyDescent="0.2">
      <c r="A25" s="2" t="s">
        <v>43</v>
      </c>
      <c r="B25" s="2" t="s">
        <v>6</v>
      </c>
      <c r="C25" s="10">
        <f>'Despesa - Access'!H9+'Despesa - Access Emag'!H9</f>
        <v>937886.85</v>
      </c>
    </row>
    <row r="26" spans="1:5" x14ac:dyDescent="0.2">
      <c r="A26" s="2" t="s">
        <v>45</v>
      </c>
      <c r="B26" s="2" t="s">
        <v>7</v>
      </c>
      <c r="C26" s="10">
        <f>'Despesa - Access'!H10+'Despesa - Access Emag'!H10</f>
        <v>62022.33</v>
      </c>
    </row>
    <row r="27" spans="1:5" x14ac:dyDescent="0.2">
      <c r="A27" s="2" t="s">
        <v>46</v>
      </c>
      <c r="B27" s="2" t="s">
        <v>68</v>
      </c>
      <c r="C27" s="10">
        <f>'Despesa - Access'!H11+'Despesa - Access Emag'!H11</f>
        <v>1574.71</v>
      </c>
    </row>
    <row r="28" spans="1:5" x14ac:dyDescent="0.2">
      <c r="A28" s="2" t="s">
        <v>47</v>
      </c>
      <c r="B28" s="2" t="s">
        <v>8</v>
      </c>
      <c r="C28" s="10">
        <f>'Despesa - Access'!H12+'Despesa - Access Emag'!H12</f>
        <v>204412.84</v>
      </c>
    </row>
    <row r="29" spans="1:5" x14ac:dyDescent="0.2">
      <c r="A29" s="2" t="s">
        <v>48</v>
      </c>
      <c r="B29" s="2" t="s">
        <v>9</v>
      </c>
      <c r="C29" s="10">
        <f>'Despesa - Access'!H13+'Despesa - Access Emag'!H13</f>
        <v>337418</v>
      </c>
    </row>
    <row r="30" spans="1:5" x14ac:dyDescent="0.2">
      <c r="A30" s="2" t="s">
        <v>49</v>
      </c>
      <c r="B30" s="2" t="s">
        <v>10</v>
      </c>
      <c r="C30" s="10">
        <f>'Despesa - Access'!H14+'Despesa - Access Emag'!H14</f>
        <v>132883.98000000001</v>
      </c>
    </row>
    <row r="31" spans="1:5" x14ac:dyDescent="0.2">
      <c r="A31" s="2" t="s">
        <v>50</v>
      </c>
      <c r="B31" s="2" t="s">
        <v>11</v>
      </c>
      <c r="C31" s="10">
        <f>'Despesa - Access'!H15+'Despesa - Access Emag'!H15</f>
        <v>349498.05</v>
      </c>
    </row>
    <row r="32" spans="1:5" x14ac:dyDescent="0.2">
      <c r="A32" s="2" t="s">
        <v>51</v>
      </c>
      <c r="B32" s="2" t="s">
        <v>12</v>
      </c>
      <c r="C32" s="10">
        <f>'Despesa - Access'!H16+'Despesa - Access Emag'!H16</f>
        <v>10925.08</v>
      </c>
    </row>
    <row r="33" spans="1:5" x14ac:dyDescent="0.2">
      <c r="A33" s="2" t="s">
        <v>52</v>
      </c>
      <c r="B33" s="2" t="s">
        <v>13</v>
      </c>
      <c r="C33" s="10">
        <f>'Despesa - Access'!H17+'Despesa - Access Emag'!H17</f>
        <v>169514.43</v>
      </c>
    </row>
    <row r="34" spans="1:5" ht="63.75" x14ac:dyDescent="0.2">
      <c r="A34" s="6" t="s">
        <v>53</v>
      </c>
      <c r="B34" s="7" t="s">
        <v>246</v>
      </c>
      <c r="C34" s="10">
        <f>'Despesa - Access'!H18+'Despesa - Access Emag'!H18</f>
        <v>260080</v>
      </c>
    </row>
    <row r="35" spans="1:5" x14ac:dyDescent="0.2">
      <c r="A35" s="2" t="s">
        <v>54</v>
      </c>
      <c r="B35" s="2" t="s">
        <v>14</v>
      </c>
      <c r="C35" s="10">
        <f>'Despesa - Access'!H19+'Despesa - Access Emag'!H19</f>
        <v>411128.04</v>
      </c>
    </row>
    <row r="36" spans="1:5" x14ac:dyDescent="0.2">
      <c r="A36" s="2" t="s">
        <v>55</v>
      </c>
      <c r="B36" s="2" t="s">
        <v>236</v>
      </c>
      <c r="C36" s="10">
        <f>'Despesa - Access'!H20+'Despesa - Access Emag'!H20</f>
        <v>0</v>
      </c>
    </row>
    <row r="37" spans="1:5" x14ac:dyDescent="0.2">
      <c r="A37" s="2" t="s">
        <v>56</v>
      </c>
      <c r="B37" s="2" t="s">
        <v>15</v>
      </c>
      <c r="C37" s="10">
        <f>'Despesa - Access'!H21+'Despesa - Access Emag'!H21</f>
        <v>174.34</v>
      </c>
    </row>
    <row r="38" spans="1:5" ht="25.5" x14ac:dyDescent="0.2">
      <c r="A38" s="6" t="s">
        <v>57</v>
      </c>
      <c r="B38" s="26" t="s">
        <v>69</v>
      </c>
      <c r="C38" s="10">
        <f>'Despesa - Access'!H22+'Despesa - Access Emag'!H22</f>
        <v>710058.31</v>
      </c>
    </row>
    <row r="39" spans="1:5" x14ac:dyDescent="0.2">
      <c r="A39" s="2" t="s">
        <v>58</v>
      </c>
      <c r="B39" s="2" t="s">
        <v>16</v>
      </c>
      <c r="C39" s="10">
        <f>'Despesa - Access'!H23+'Despesa - Access Emag'!H23</f>
        <v>50058.97</v>
      </c>
    </row>
    <row r="40" spans="1:5" x14ac:dyDescent="0.2">
      <c r="A40" s="2" t="s">
        <v>59</v>
      </c>
      <c r="B40" s="2" t="s">
        <v>17</v>
      </c>
      <c r="C40" s="10">
        <f>'Despesa - Access'!H24+'Despesa - Access Emag'!H24</f>
        <v>440.3</v>
      </c>
    </row>
    <row r="41" spans="1:5" x14ac:dyDescent="0.2">
      <c r="A41" s="2" t="s">
        <v>60</v>
      </c>
      <c r="B41" s="2" t="s">
        <v>237</v>
      </c>
      <c r="C41" s="10">
        <f>'Despesa - Access'!H25+'Despesa - Access Emag'!H25</f>
        <v>2580</v>
      </c>
    </row>
    <row r="42" spans="1:5" x14ac:dyDescent="0.2">
      <c r="A42" s="2" t="s">
        <v>61</v>
      </c>
      <c r="B42" s="2" t="s">
        <v>19</v>
      </c>
      <c r="C42" s="10">
        <f>'Despesa - Access'!H26+'Despesa - Access Emag'!H26</f>
        <v>358.8</v>
      </c>
    </row>
    <row r="43" spans="1:5" x14ac:dyDescent="0.2">
      <c r="A43" s="2" t="s">
        <v>62</v>
      </c>
      <c r="B43" s="2" t="s">
        <v>20</v>
      </c>
      <c r="C43" s="10">
        <f>'Despesa - Access'!H27+'Despesa - Access Emag'!H27</f>
        <v>0</v>
      </c>
    </row>
    <row r="44" spans="1:5" x14ac:dyDescent="0.2">
      <c r="A44" s="2" t="s">
        <v>63</v>
      </c>
      <c r="B44" s="2" t="s">
        <v>21</v>
      </c>
      <c r="C44" s="10">
        <f>'Despesa - Access'!H28+'Despesa - Access Emag'!H28</f>
        <v>63013</v>
      </c>
    </row>
    <row r="45" spans="1:5" x14ac:dyDescent="0.2">
      <c r="A45" s="2" t="s">
        <v>64</v>
      </c>
      <c r="B45" s="2" t="s">
        <v>70</v>
      </c>
      <c r="C45" s="10">
        <f>'Despesa - Access'!H29+'Despesa - Access Emag'!H29</f>
        <v>1677.45</v>
      </c>
    </row>
    <row r="46" spans="1:5" x14ac:dyDescent="0.2">
      <c r="A46" s="2" t="s">
        <v>65</v>
      </c>
      <c r="B46" s="2" t="s">
        <v>22</v>
      </c>
      <c r="C46" s="10">
        <f>'Despesa - Access'!H30+'Despesa - Access Emag'!H30</f>
        <v>0</v>
      </c>
    </row>
    <row r="47" spans="1:5" x14ac:dyDescent="0.2">
      <c r="A47" s="2" t="s">
        <v>66</v>
      </c>
      <c r="B47" s="2" t="s">
        <v>23</v>
      </c>
      <c r="C47" s="10">
        <f>'Despesa - Access'!H31+'Despesa - Access Emag'!H31</f>
        <v>767069.99</v>
      </c>
    </row>
    <row r="48" spans="1:5" x14ac:dyDescent="0.2">
      <c r="A48" s="103" t="s">
        <v>71</v>
      </c>
      <c r="B48" s="103"/>
      <c r="C48" s="10">
        <f>SUM(C22:C47)</f>
        <v>6349768.209999999</v>
      </c>
      <c r="D48" s="54">
        <f>6338224.69+11543.52</f>
        <v>6349768.21</v>
      </c>
      <c r="E48" s="54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Access'!H32+'Despesa - Access Emag'!H32</f>
        <v>0</v>
      </c>
    </row>
    <row r="54" spans="1:5" x14ac:dyDescent="0.2">
      <c r="A54" s="2" t="s">
        <v>41</v>
      </c>
      <c r="B54" s="2" t="s">
        <v>26</v>
      </c>
      <c r="C54" s="10">
        <f>'Despesa - Access'!H33+'Despesa - Access Emag'!H33</f>
        <v>0</v>
      </c>
    </row>
    <row r="55" spans="1:5" x14ac:dyDescent="0.2">
      <c r="A55" s="2" t="s">
        <v>42</v>
      </c>
      <c r="B55" s="2" t="s">
        <v>67</v>
      </c>
      <c r="C55" s="10">
        <f>'Despesa - Access'!H34+'Despesa - Access Emag'!H34</f>
        <v>0</v>
      </c>
    </row>
    <row r="56" spans="1:5" x14ac:dyDescent="0.2">
      <c r="A56" s="2" t="s">
        <v>43</v>
      </c>
      <c r="B56" s="2" t="s">
        <v>27</v>
      </c>
      <c r="C56" s="10">
        <f>'Despesa - Access'!H35+'Despesa - Access Emag'!H35</f>
        <v>0</v>
      </c>
    </row>
    <row r="57" spans="1:5" x14ac:dyDescent="0.2">
      <c r="A57" s="2" t="s">
        <v>45</v>
      </c>
      <c r="B57" s="2" t="s">
        <v>28</v>
      </c>
      <c r="C57" s="10">
        <f>'Despesa - Access'!H36+'Despesa - Access Emag'!H36</f>
        <v>624</v>
      </c>
    </row>
    <row r="58" spans="1:5" x14ac:dyDescent="0.2">
      <c r="A58" s="103" t="s">
        <v>71</v>
      </c>
      <c r="B58" s="103"/>
      <c r="C58" s="10">
        <f>SUM(C53:C57)</f>
        <v>624</v>
      </c>
      <c r="D58" s="54">
        <v>624</v>
      </c>
      <c r="E58" s="54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235</v>
      </c>
    </row>
    <row r="63" spans="1:5" x14ac:dyDescent="0.2">
      <c r="A63" s="2" t="s">
        <v>40</v>
      </c>
      <c r="B63" s="2" t="s">
        <v>30</v>
      </c>
      <c r="C63" s="10">
        <f>'Despesa - Access'!H37+'Despesa - Access Emag'!H37</f>
        <v>0</v>
      </c>
    </row>
    <row r="64" spans="1:5" x14ac:dyDescent="0.2">
      <c r="A64" s="2" t="s">
        <v>41</v>
      </c>
      <c r="B64" s="2" t="s">
        <v>31</v>
      </c>
      <c r="C64" s="10">
        <f>'Despesa - Access'!H38+'Despesa - Access Emag'!H38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Access'!H2+'Financeiro - Access Emag'!H2</f>
        <v>40924245.740000002</v>
      </c>
    </row>
    <row r="71" spans="1:3" x14ac:dyDescent="0.2">
      <c r="A71" s="2" t="s">
        <v>41</v>
      </c>
      <c r="B71" s="2" t="s">
        <v>76</v>
      </c>
      <c r="C71" s="9">
        <f>'Financeiro - Access'!H3+'Financeiro - Access Emag'!H3</f>
        <v>6261153.9099999992</v>
      </c>
    </row>
    <row r="72" spans="1:3" x14ac:dyDescent="0.2">
      <c r="A72" s="2" t="s">
        <v>42</v>
      </c>
      <c r="B72" s="2" t="s">
        <v>215</v>
      </c>
      <c r="C72" s="9">
        <f>'Financeiro - Access'!H4+'Financeiro - Access Emag'!H4</f>
        <v>129976.06</v>
      </c>
    </row>
    <row r="73" spans="1:3" x14ac:dyDescent="0.2">
      <c r="A73" s="2" t="s">
        <v>43</v>
      </c>
      <c r="B73" s="2" t="s">
        <v>238</v>
      </c>
      <c r="C73" s="9">
        <f>'Financeiro - Access'!H5+'Financeiro - Access Emag'!H5</f>
        <v>0</v>
      </c>
    </row>
    <row r="74" spans="1:3" x14ac:dyDescent="0.2">
      <c r="A74" s="103" t="s">
        <v>71</v>
      </c>
      <c r="B74" s="103"/>
      <c r="C74" s="10">
        <f>SUM(C70:C73)</f>
        <v>47315375.710000001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9" t="s">
        <v>293</v>
      </c>
      <c r="B84" s="119"/>
      <c r="C84" s="119"/>
    </row>
    <row r="85" spans="1:5" x14ac:dyDescent="0.2">
      <c r="A85" s="119" t="s">
        <v>382</v>
      </c>
      <c r="B85" s="119"/>
      <c r="C85" s="119"/>
    </row>
    <row r="86" spans="1:5" x14ac:dyDescent="0.2">
      <c r="A86" s="119"/>
      <c r="B86" s="119"/>
      <c r="C86" s="119"/>
    </row>
    <row r="87" spans="1:5" x14ac:dyDescent="0.2">
      <c r="A87" s="115"/>
      <c r="B87" s="126"/>
      <c r="C87" s="126"/>
    </row>
    <row r="88" spans="1:5" x14ac:dyDescent="0.2">
      <c r="A88" s="115"/>
      <c r="B88" s="126"/>
      <c r="C88" s="126"/>
    </row>
    <row r="89" spans="1:5" x14ac:dyDescent="0.2">
      <c r="A89" s="109" t="s">
        <v>99</v>
      </c>
      <c r="B89" s="109"/>
      <c r="C89" s="109"/>
      <c r="D89" s="109"/>
      <c r="E89" s="109"/>
    </row>
    <row r="90" spans="1:5" x14ac:dyDescent="0.2">
      <c r="A90" s="66"/>
      <c r="B90" s="66"/>
      <c r="C90" s="66"/>
    </row>
    <row r="91" spans="1:5" x14ac:dyDescent="0.2">
      <c r="C91" s="11" t="s">
        <v>103</v>
      </c>
      <c r="D91" s="71" t="s">
        <v>102</v>
      </c>
      <c r="E91" s="71" t="s">
        <v>71</v>
      </c>
    </row>
    <row r="92" spans="1:5" x14ac:dyDescent="0.2">
      <c r="A92" s="112"/>
      <c r="B92" s="111"/>
      <c r="C92" s="9">
        <v>0</v>
      </c>
      <c r="D92" s="45">
        <v>0</v>
      </c>
      <c r="E92" s="45">
        <f>C92-D92</f>
        <v>0</v>
      </c>
    </row>
    <row r="93" spans="1:5" x14ac:dyDescent="0.2">
      <c r="A93" s="112" t="s">
        <v>343</v>
      </c>
      <c r="B93" s="111"/>
      <c r="C93" s="9">
        <v>205368415.16</v>
      </c>
      <c r="D93" s="45">
        <f>'Anexo I - Mar'!C93</f>
        <v>156795403.75</v>
      </c>
      <c r="E93" s="45">
        <f>C93-D93</f>
        <v>48573011.409999996</v>
      </c>
    </row>
    <row r="94" spans="1:5" x14ac:dyDescent="0.2">
      <c r="A94" s="112" t="s">
        <v>344</v>
      </c>
      <c r="B94" s="111"/>
      <c r="C94" s="9">
        <f>69638.17</f>
        <v>69638.17</v>
      </c>
      <c r="D94" s="45">
        <f>'Anexo I - Mar'!C94</f>
        <v>1278.01</v>
      </c>
      <c r="E94" s="45">
        <f>C94-D94</f>
        <v>68360.160000000003</v>
      </c>
    </row>
    <row r="95" spans="1:5" x14ac:dyDescent="0.2">
      <c r="A95" s="112" t="s">
        <v>97</v>
      </c>
      <c r="B95" s="120"/>
      <c r="C95" s="120"/>
      <c r="D95" s="111"/>
      <c r="E95" s="84">
        <f>SUM(E92:E94)</f>
        <v>48641371.569999993</v>
      </c>
    </row>
    <row r="96" spans="1:5" x14ac:dyDescent="0.2">
      <c r="A96" s="112" t="s">
        <v>98</v>
      </c>
      <c r="B96" s="120"/>
      <c r="C96" s="120"/>
      <c r="D96" s="111"/>
      <c r="E96" s="84">
        <f>C17+C48+C58+C65</f>
        <v>48584944</v>
      </c>
    </row>
    <row r="98" spans="4:6" x14ac:dyDescent="0.2">
      <c r="D98" s="72" t="s">
        <v>337</v>
      </c>
      <c r="E98" s="85">
        <f>48573011.41+11543.52</f>
        <v>48584554.93</v>
      </c>
    </row>
    <row r="99" spans="4:6" x14ac:dyDescent="0.2">
      <c r="E99" s="86" t="str">
        <f>IF(E96=E98,"Despesa Ok","Diferença")</f>
        <v>Diferença</v>
      </c>
      <c r="F99" s="8"/>
    </row>
    <row r="100" spans="4:6" x14ac:dyDescent="0.2">
      <c r="E100" s="54">
        <f>E96-E98</f>
        <v>389.07000000029802</v>
      </c>
      <c r="F100" s="60" t="s">
        <v>338</v>
      </c>
    </row>
    <row r="102" spans="4:6" x14ac:dyDescent="0.2">
      <c r="E102" s="54" t="s">
        <v>249</v>
      </c>
    </row>
  </sheetData>
  <mergeCells count="24"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1:C1"/>
    <mergeCell ref="B3:C3"/>
    <mergeCell ref="B4:C4"/>
    <mergeCell ref="B5:C5"/>
    <mergeCell ref="A84:C84"/>
    <mergeCell ref="A87:C87"/>
    <mergeCell ref="A95:D95"/>
    <mergeCell ref="A96:D96"/>
    <mergeCell ref="A89:E89"/>
    <mergeCell ref="A92:B92"/>
    <mergeCell ref="A93:B93"/>
    <mergeCell ref="A94:B94"/>
    <mergeCell ref="A88:C88"/>
    <mergeCell ref="A85:C85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view="pageBreakPreview" topLeftCell="A64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4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">
        <v>221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">
        <v>222</v>
      </c>
      <c r="C6" s="107"/>
    </row>
    <row r="7" spans="1:3" x14ac:dyDescent="0.2">
      <c r="A7" s="2" t="s">
        <v>36</v>
      </c>
      <c r="B7" s="122" t="s">
        <v>361</v>
      </c>
      <c r="C7" s="123"/>
    </row>
    <row r="8" spans="1:3" x14ac:dyDescent="0.2">
      <c r="A8" s="2" t="s">
        <v>37</v>
      </c>
      <c r="B8" s="124">
        <v>42900</v>
      </c>
      <c r="C8" s="111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Access'!I2+'Despesa - Access Emag'!I2</f>
        <v>28095691.989999998</v>
      </c>
    </row>
    <row r="14" spans="1:3" x14ac:dyDescent="0.2">
      <c r="A14" s="2" t="s">
        <v>41</v>
      </c>
      <c r="B14" s="5" t="s">
        <v>2</v>
      </c>
      <c r="C14" s="10">
        <f>'Despesa - Access'!I3+'Despesa - Access Emag'!I3</f>
        <v>7792338.9500000002</v>
      </c>
    </row>
    <row r="15" spans="1:3" x14ac:dyDescent="0.2">
      <c r="A15" s="2" t="s">
        <v>42</v>
      </c>
      <c r="B15" s="5" t="s">
        <v>234</v>
      </c>
      <c r="C15" s="10">
        <f>'Despesa - Access'!I4+'Despesa - Access Emag'!I4</f>
        <v>5046228.2300000004</v>
      </c>
    </row>
    <row r="16" spans="1:3" ht="51" x14ac:dyDescent="0.2">
      <c r="A16" s="6" t="s">
        <v>43</v>
      </c>
      <c r="B16" s="5" t="s">
        <v>242</v>
      </c>
      <c r="C16" s="10">
        <v>5857849.6299999999</v>
      </c>
    </row>
    <row r="17" spans="1:5" x14ac:dyDescent="0.2">
      <c r="A17" s="103" t="s">
        <v>71</v>
      </c>
      <c r="B17" s="103"/>
      <c r="C17" s="10">
        <f>SUM(C13:C16)</f>
        <v>46792108.800000004</v>
      </c>
      <c r="D17" s="54">
        <f>40934259.17+0</f>
        <v>40934259.170000002</v>
      </c>
      <c r="E17" s="54">
        <f>+D17-C17</f>
        <v>-5857849.6300000027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Access'!I6+'Despesa - Access Emag'!I6</f>
        <v>97448.72</v>
      </c>
    </row>
    <row r="23" spans="1:5" x14ac:dyDescent="0.2">
      <c r="A23" s="2" t="s">
        <v>41</v>
      </c>
      <c r="B23" s="2" t="s">
        <v>4</v>
      </c>
      <c r="C23" s="10">
        <f>'Despesa - Access'!I7+'Despesa - Access Emag'!I7</f>
        <v>1607232.7</v>
      </c>
    </row>
    <row r="24" spans="1:5" x14ac:dyDescent="0.2">
      <c r="A24" s="2" t="s">
        <v>42</v>
      </c>
      <c r="B24" s="2" t="s">
        <v>5</v>
      </c>
      <c r="C24" s="10">
        <f>'Despesa - Access'!I8+'Despesa - Access Emag'!I8</f>
        <v>174750</v>
      </c>
    </row>
    <row r="25" spans="1:5" x14ac:dyDescent="0.2">
      <c r="A25" s="2" t="s">
        <v>43</v>
      </c>
      <c r="B25" s="2" t="s">
        <v>6</v>
      </c>
      <c r="C25" s="10">
        <f>'Despesa - Access'!I9+'Despesa - Access Emag'!I9</f>
        <v>932115.84</v>
      </c>
    </row>
    <row r="26" spans="1:5" x14ac:dyDescent="0.2">
      <c r="A26" s="2" t="s">
        <v>45</v>
      </c>
      <c r="B26" s="2" t="s">
        <v>7</v>
      </c>
      <c r="C26" s="10">
        <f>'Despesa - Access'!I10+'Despesa - Access Emag'!I10</f>
        <v>198023.72</v>
      </c>
    </row>
    <row r="27" spans="1:5" x14ac:dyDescent="0.2">
      <c r="A27" s="2" t="s">
        <v>46</v>
      </c>
      <c r="B27" s="2" t="s">
        <v>68</v>
      </c>
      <c r="C27" s="10">
        <f>'Despesa - Access'!I11+'Despesa - Access Emag'!I11</f>
        <v>44010.42</v>
      </c>
    </row>
    <row r="28" spans="1:5" x14ac:dyDescent="0.2">
      <c r="A28" s="2" t="s">
        <v>47</v>
      </c>
      <c r="B28" s="2" t="s">
        <v>8</v>
      </c>
      <c r="C28" s="10">
        <f>'Despesa - Access'!I12+'Despesa - Access Emag'!I12</f>
        <v>209517.08</v>
      </c>
    </row>
    <row r="29" spans="1:5" x14ac:dyDescent="0.2">
      <c r="A29" s="2" t="s">
        <v>48</v>
      </c>
      <c r="B29" s="2" t="s">
        <v>9</v>
      </c>
      <c r="C29" s="10">
        <f>'Despesa - Access'!I13+'Despesa - Access Emag'!I13</f>
        <v>337418</v>
      </c>
    </row>
    <row r="30" spans="1:5" x14ac:dyDescent="0.2">
      <c r="A30" s="2" t="s">
        <v>49</v>
      </c>
      <c r="B30" s="2" t="s">
        <v>10</v>
      </c>
      <c r="C30" s="10">
        <f>'Despesa - Access'!I14+'Despesa - Access Emag'!I14</f>
        <v>107462.22</v>
      </c>
    </row>
    <row r="31" spans="1:5" x14ac:dyDescent="0.2">
      <c r="A31" s="2" t="s">
        <v>50</v>
      </c>
      <c r="B31" s="2" t="s">
        <v>11</v>
      </c>
      <c r="C31" s="10">
        <f>'Despesa - Access'!I15+'Despesa - Access Emag'!I15</f>
        <v>238936.3</v>
      </c>
    </row>
    <row r="32" spans="1:5" x14ac:dyDescent="0.2">
      <c r="A32" s="2" t="s">
        <v>51</v>
      </c>
      <c r="B32" s="2" t="s">
        <v>12</v>
      </c>
      <c r="C32" s="10">
        <f>'Despesa - Access'!I16+'Despesa - Access Emag'!I16</f>
        <v>14195.13</v>
      </c>
    </row>
    <row r="33" spans="1:5" x14ac:dyDescent="0.2">
      <c r="A33" s="2" t="s">
        <v>52</v>
      </c>
      <c r="B33" s="2" t="s">
        <v>13</v>
      </c>
      <c r="C33" s="10">
        <f>'Despesa - Access'!I17+'Despesa - Access Emag'!I17</f>
        <v>198425.89</v>
      </c>
    </row>
    <row r="34" spans="1:5" ht="63.75" x14ac:dyDescent="0.2">
      <c r="A34" s="6" t="s">
        <v>53</v>
      </c>
      <c r="B34" s="7" t="s">
        <v>246</v>
      </c>
      <c r="C34" s="10">
        <f>'Despesa - Access'!I18+'Despesa - Access Emag'!I18</f>
        <v>173320.81</v>
      </c>
    </row>
    <row r="35" spans="1:5" x14ac:dyDescent="0.2">
      <c r="A35" s="2" t="s">
        <v>54</v>
      </c>
      <c r="B35" s="2" t="s">
        <v>14</v>
      </c>
      <c r="C35" s="10">
        <f>'Despesa - Access'!I19+'Despesa - Access Emag'!I19</f>
        <v>505262.75</v>
      </c>
    </row>
    <row r="36" spans="1:5" x14ac:dyDescent="0.2">
      <c r="A36" s="2" t="s">
        <v>55</v>
      </c>
      <c r="B36" s="2" t="s">
        <v>236</v>
      </c>
      <c r="C36" s="10">
        <f>'Despesa - Access'!I20+'Despesa - Access Emag'!I20</f>
        <v>383628.89</v>
      </c>
    </row>
    <row r="37" spans="1:5" x14ac:dyDescent="0.2">
      <c r="A37" s="2" t="s">
        <v>56</v>
      </c>
      <c r="B37" s="2" t="s">
        <v>15</v>
      </c>
      <c r="C37" s="10">
        <f>'Despesa - Access'!I21+'Despesa - Access Emag'!I21</f>
        <v>9697.44</v>
      </c>
    </row>
    <row r="38" spans="1:5" ht="25.5" x14ac:dyDescent="0.2">
      <c r="A38" s="6" t="s">
        <v>57</v>
      </c>
      <c r="B38" s="26" t="s">
        <v>69</v>
      </c>
      <c r="C38" s="10">
        <f>'Despesa - Access'!I22+'Despesa - Access Emag'!I22</f>
        <v>702493.14</v>
      </c>
    </row>
    <row r="39" spans="1:5" x14ac:dyDescent="0.2">
      <c r="A39" s="2" t="s">
        <v>58</v>
      </c>
      <c r="B39" s="2" t="s">
        <v>16</v>
      </c>
      <c r="C39" s="10">
        <f>'Despesa - Access'!I23+'Despesa - Access Emag'!I23</f>
        <v>89290.41</v>
      </c>
    </row>
    <row r="40" spans="1:5" x14ac:dyDescent="0.2">
      <c r="A40" s="2" t="s">
        <v>59</v>
      </c>
      <c r="B40" s="2" t="s">
        <v>17</v>
      </c>
      <c r="C40" s="10">
        <f>'Despesa - Access'!I24+'Despesa - Access Emag'!I24</f>
        <v>0</v>
      </c>
    </row>
    <row r="41" spans="1:5" x14ac:dyDescent="0.2">
      <c r="A41" s="2" t="s">
        <v>60</v>
      </c>
      <c r="B41" s="2" t="s">
        <v>237</v>
      </c>
      <c r="C41" s="10">
        <f>'Despesa - Access'!I25+'Despesa - Access Emag'!I25</f>
        <v>0</v>
      </c>
    </row>
    <row r="42" spans="1:5" x14ac:dyDescent="0.2">
      <c r="A42" s="2" t="s">
        <v>61</v>
      </c>
      <c r="B42" s="2" t="s">
        <v>19</v>
      </c>
      <c r="C42" s="10">
        <f>'Despesa - Access'!I26+'Despesa - Access Emag'!I26</f>
        <v>8642</v>
      </c>
    </row>
    <row r="43" spans="1:5" x14ac:dyDescent="0.2">
      <c r="A43" s="2" t="s">
        <v>62</v>
      </c>
      <c r="B43" s="2" t="s">
        <v>20</v>
      </c>
      <c r="C43" s="10">
        <f>'Despesa - Access'!I27+'Despesa - Access Emag'!I27</f>
        <v>25941.57</v>
      </c>
    </row>
    <row r="44" spans="1:5" x14ac:dyDescent="0.2">
      <c r="A44" s="2" t="s">
        <v>63</v>
      </c>
      <c r="B44" s="2" t="s">
        <v>21</v>
      </c>
      <c r="C44" s="10">
        <f>'Despesa - Access'!I28+'Despesa - Access Emag'!I28</f>
        <v>31686.51</v>
      </c>
    </row>
    <row r="45" spans="1:5" x14ac:dyDescent="0.2">
      <c r="A45" s="2" t="s">
        <v>64</v>
      </c>
      <c r="B45" s="2" t="s">
        <v>70</v>
      </c>
      <c r="C45" s="10">
        <f>'Despesa - Access'!I29+'Despesa - Access Emag'!I29</f>
        <v>22503.43</v>
      </c>
    </row>
    <row r="46" spans="1:5" x14ac:dyDescent="0.2">
      <c r="A46" s="2" t="s">
        <v>65</v>
      </c>
      <c r="B46" s="2" t="s">
        <v>22</v>
      </c>
      <c r="C46" s="10">
        <f>'Despesa - Access'!I30+'Despesa - Access Emag'!I30</f>
        <v>0</v>
      </c>
    </row>
    <row r="47" spans="1:5" x14ac:dyDescent="0.2">
      <c r="A47" s="2" t="s">
        <v>66</v>
      </c>
      <c r="B47" s="2" t="s">
        <v>23</v>
      </c>
      <c r="C47" s="10">
        <f>'Despesa - Access'!I31+'Despesa - Access Emag'!I31</f>
        <v>856934.18</v>
      </c>
    </row>
    <row r="48" spans="1:5" x14ac:dyDescent="0.2">
      <c r="A48" s="103" t="s">
        <v>71</v>
      </c>
      <c r="B48" s="103"/>
      <c r="C48" s="10">
        <f>SUM(C22:C47)</f>
        <v>6968937.1499999994</v>
      </c>
      <c r="D48" s="54">
        <f>6934303.85+34633.3</f>
        <v>6968937.1499999994</v>
      </c>
      <c r="E48" s="54">
        <f>+D48-C48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Access'!I32+'Despesa - Access Emag'!I32</f>
        <v>0</v>
      </c>
    </row>
    <row r="54" spans="1:5" x14ac:dyDescent="0.2">
      <c r="A54" s="2" t="s">
        <v>41</v>
      </c>
      <c r="B54" s="2" t="s">
        <v>26</v>
      </c>
      <c r="C54" s="10">
        <f>'Despesa - Access'!I33+'Despesa - Access Emag'!I33</f>
        <v>0</v>
      </c>
    </row>
    <row r="55" spans="1:5" x14ac:dyDescent="0.2">
      <c r="A55" s="2" t="s">
        <v>42</v>
      </c>
      <c r="B55" s="2" t="s">
        <v>67</v>
      </c>
      <c r="C55" s="10">
        <f>'Despesa - Access'!I34+'Despesa - Access Emag'!I34</f>
        <v>0</v>
      </c>
    </row>
    <row r="56" spans="1:5" x14ac:dyDescent="0.2">
      <c r="A56" s="2" t="s">
        <v>43</v>
      </c>
      <c r="B56" s="2" t="s">
        <v>27</v>
      </c>
      <c r="C56" s="10">
        <f>'Despesa - Access'!I35+'Despesa - Access Emag'!I35</f>
        <v>0</v>
      </c>
    </row>
    <row r="57" spans="1:5" x14ac:dyDescent="0.2">
      <c r="A57" s="2" t="s">
        <v>45</v>
      </c>
      <c r="B57" s="2" t="s">
        <v>28</v>
      </c>
      <c r="C57" s="10">
        <f>'Despesa - Access'!I36+'Despesa - Access Emag'!I36</f>
        <v>13926.84</v>
      </c>
    </row>
    <row r="58" spans="1:5" x14ac:dyDescent="0.2">
      <c r="A58" s="103" t="s">
        <v>71</v>
      </c>
      <c r="B58" s="103"/>
      <c r="C58" s="10">
        <f>SUM(C53:C57)</f>
        <v>13926.84</v>
      </c>
      <c r="D58" s="54">
        <v>13926.84</v>
      </c>
      <c r="E58" s="54">
        <f>+D58-C58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235</v>
      </c>
    </row>
    <row r="63" spans="1:5" x14ac:dyDescent="0.2">
      <c r="A63" s="2" t="s">
        <v>40</v>
      </c>
      <c r="B63" s="2" t="s">
        <v>30</v>
      </c>
      <c r="C63" s="10">
        <f>'Despesa - Access'!I37+'Despesa - Access Emag'!I37</f>
        <v>0</v>
      </c>
    </row>
    <row r="64" spans="1:5" x14ac:dyDescent="0.2">
      <c r="A64" s="2" t="s">
        <v>41</v>
      </c>
      <c r="B64" s="2" t="s">
        <v>31</v>
      </c>
      <c r="C64" s="10">
        <f>'Despesa - Access'!I38+'Despesa - Access Emag'!I38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Access'!I2+'Financeiro - Access Emag'!I2</f>
        <v>42226481.420000002</v>
      </c>
    </row>
    <row r="71" spans="1:3" x14ac:dyDescent="0.2">
      <c r="A71" s="2" t="s">
        <v>41</v>
      </c>
      <c r="B71" s="2" t="s">
        <v>76</v>
      </c>
      <c r="C71" s="9">
        <f>'Financeiro - Access'!I3+'Financeiro - Access Emag'!I3</f>
        <v>5992006.3300000001</v>
      </c>
    </row>
    <row r="72" spans="1:3" x14ac:dyDescent="0.2">
      <c r="A72" s="2" t="s">
        <v>42</v>
      </c>
      <c r="B72" s="2" t="s">
        <v>215</v>
      </c>
      <c r="C72" s="9">
        <f>'Financeiro - Access'!I4+'Financeiro - Access Emag'!I4</f>
        <v>83039.94</v>
      </c>
    </row>
    <row r="73" spans="1:3" x14ac:dyDescent="0.2">
      <c r="A73" s="2" t="s">
        <v>43</v>
      </c>
      <c r="B73" s="2" t="s">
        <v>238</v>
      </c>
      <c r="C73" s="9">
        <f>'Financeiro - Access'!I5+'Financeiro - Access Emag'!I5</f>
        <v>0</v>
      </c>
    </row>
    <row r="74" spans="1:3" x14ac:dyDescent="0.2">
      <c r="A74" s="103" t="s">
        <v>71</v>
      </c>
      <c r="B74" s="103"/>
      <c r="C74" s="10">
        <f>SUM(C70:C73)</f>
        <v>48301527.689999998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9" t="s">
        <v>293</v>
      </c>
      <c r="B84" s="119"/>
      <c r="C84" s="119"/>
    </row>
    <row r="85" spans="1:5" x14ac:dyDescent="0.2">
      <c r="A85" s="119" t="s">
        <v>383</v>
      </c>
      <c r="B85" s="119"/>
      <c r="C85" s="119"/>
    </row>
    <row r="86" spans="1:5" x14ac:dyDescent="0.2">
      <c r="A86" s="127"/>
      <c r="B86" s="127"/>
      <c r="C86" s="127"/>
    </row>
    <row r="87" spans="1:5" x14ac:dyDescent="0.2">
      <c r="A87" s="127"/>
      <c r="B87" s="127"/>
      <c r="C87" s="127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67"/>
      <c r="B89" s="67"/>
      <c r="C89" s="67"/>
    </row>
    <row r="90" spans="1:5" x14ac:dyDescent="0.2">
      <c r="C90" s="11" t="s">
        <v>104</v>
      </c>
      <c r="D90" s="71" t="s">
        <v>103</v>
      </c>
      <c r="E90" s="71" t="s">
        <v>71</v>
      </c>
    </row>
    <row r="91" spans="1:5" x14ac:dyDescent="0.2">
      <c r="A91" s="112"/>
      <c r="B91" s="111"/>
      <c r="C91" s="9">
        <v>0</v>
      </c>
      <c r="D91" s="45">
        <v>0</v>
      </c>
      <c r="E91" s="45">
        <f>C91-D91</f>
        <v>0</v>
      </c>
    </row>
    <row r="92" spans="1:5" x14ac:dyDescent="0.2">
      <c r="A92" s="112" t="s">
        <v>343</v>
      </c>
      <c r="B92" s="111"/>
      <c r="C92" s="9">
        <f>253250905.02</f>
        <v>253250905.02000001</v>
      </c>
      <c r="D92" s="45">
        <f>'Anexo I - Abr'!C93</f>
        <v>205368415.16</v>
      </c>
      <c r="E92" s="45">
        <f>C92-D92</f>
        <v>47882489.860000014</v>
      </c>
    </row>
    <row r="93" spans="1:5" x14ac:dyDescent="0.2">
      <c r="A93" s="112" t="s">
        <v>344</v>
      </c>
      <c r="B93" s="111"/>
      <c r="C93" s="9">
        <f>47454.83</f>
        <v>47454.83</v>
      </c>
      <c r="D93" s="45">
        <f>'Anexo I - Abr'!C94</f>
        <v>69638.17</v>
      </c>
      <c r="E93" s="45">
        <f>C93-D93</f>
        <v>-22183.339999999997</v>
      </c>
    </row>
    <row r="94" spans="1:5" x14ac:dyDescent="0.2">
      <c r="A94" s="112" t="s">
        <v>97</v>
      </c>
      <c r="B94" s="120"/>
      <c r="C94" s="120"/>
      <c r="D94" s="111"/>
      <c r="E94" s="84">
        <f>SUM(E91:E93)</f>
        <v>47860306.520000011</v>
      </c>
    </row>
    <row r="95" spans="1:5" x14ac:dyDescent="0.2">
      <c r="A95" s="112" t="s">
        <v>98</v>
      </c>
      <c r="B95" s="120"/>
      <c r="C95" s="120"/>
      <c r="D95" s="111"/>
      <c r="E95" s="84">
        <f>C17+C48+C58+C65</f>
        <v>53774972.790000007</v>
      </c>
    </row>
    <row r="97" spans="4:6" x14ac:dyDescent="0.2">
      <c r="D97" s="72" t="s">
        <v>337</v>
      </c>
      <c r="E97" s="85">
        <f>47882489.86+34633.3</f>
        <v>47917123.159999996</v>
      </c>
    </row>
    <row r="98" spans="4:6" x14ac:dyDescent="0.2">
      <c r="E98" s="86" t="str">
        <f>IF(E95=E97,"Despesa Ok","Diferença")</f>
        <v>Diferença</v>
      </c>
      <c r="F98" s="8"/>
    </row>
    <row r="99" spans="4:6" x14ac:dyDescent="0.2">
      <c r="E99" s="54">
        <f>E95-E97</f>
        <v>5857849.6300000101</v>
      </c>
      <c r="F99" s="60" t="s">
        <v>338</v>
      </c>
    </row>
    <row r="101" spans="4:6" x14ac:dyDescent="0.2">
      <c r="E101" s="54" t="s">
        <v>249</v>
      </c>
    </row>
  </sheetData>
  <mergeCells count="23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95:D95"/>
    <mergeCell ref="A88:E88"/>
    <mergeCell ref="A91:B91"/>
    <mergeCell ref="A92:B92"/>
    <mergeCell ref="A93:B93"/>
    <mergeCell ref="A94:D94"/>
    <mergeCell ref="A87:C87"/>
    <mergeCell ref="A85:C85"/>
    <mergeCell ref="A86:C8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70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5.7109375" customWidth="1"/>
    <col min="6" max="6" width="11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">
        <v>221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">
        <v>222</v>
      </c>
      <c r="C6" s="107"/>
    </row>
    <row r="7" spans="1:3" x14ac:dyDescent="0.2">
      <c r="A7" s="2" t="s">
        <v>36</v>
      </c>
      <c r="B7" s="105" t="s">
        <v>362</v>
      </c>
      <c r="C7" s="105"/>
    </row>
    <row r="8" spans="1:3" x14ac:dyDescent="0.2">
      <c r="A8" s="2" t="s">
        <v>37</v>
      </c>
      <c r="B8" s="106">
        <v>42936</v>
      </c>
      <c r="C8" s="107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Access'!J2+'Despesa - Access Emag'!J2</f>
        <v>29503135.870000001</v>
      </c>
    </row>
    <row r="14" spans="1:3" x14ac:dyDescent="0.2">
      <c r="A14" s="2" t="s">
        <v>41</v>
      </c>
      <c r="B14" s="5" t="s">
        <v>2</v>
      </c>
      <c r="C14" s="10">
        <f>'Despesa - Access'!J3+'Despesa - Access Emag'!J3</f>
        <v>7900858.3799999999</v>
      </c>
    </row>
    <row r="15" spans="1:3" x14ac:dyDescent="0.2">
      <c r="A15" s="2" t="s">
        <v>42</v>
      </c>
      <c r="B15" s="5" t="s">
        <v>234</v>
      </c>
      <c r="C15" s="10">
        <f>'Despesa - Access'!J4+'Despesa - Access Emag'!J4</f>
        <v>5219603.3099999996</v>
      </c>
    </row>
    <row r="16" spans="1:3" ht="51" x14ac:dyDescent="0.2">
      <c r="A16" s="6" t="s">
        <v>43</v>
      </c>
      <c r="B16" s="5" t="s">
        <v>242</v>
      </c>
      <c r="C16" s="10">
        <f>'Despesa - Access'!J5+'Despesa - Access Emag'!J5</f>
        <v>0</v>
      </c>
    </row>
    <row r="17" spans="1:5" x14ac:dyDescent="0.2">
      <c r="A17" s="103" t="s">
        <v>71</v>
      </c>
      <c r="B17" s="103"/>
      <c r="C17" s="10">
        <f>SUM(C13:C16)</f>
        <v>42623597.560000002</v>
      </c>
      <c r="D17" s="54">
        <f>42623597.56</f>
        <v>42623597.560000002</v>
      </c>
      <c r="E17" s="8">
        <f>+C17-D17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Access'!J6+'Despesa - Access Emag'!J6</f>
        <v>99476.800000000003</v>
      </c>
    </row>
    <row r="23" spans="1:5" x14ac:dyDescent="0.2">
      <c r="A23" s="2" t="s">
        <v>41</v>
      </c>
      <c r="B23" s="2" t="s">
        <v>4</v>
      </c>
      <c r="C23" s="10">
        <f>'Despesa - Access'!J7+'Despesa - Access Emag'!J7</f>
        <v>1596471.96</v>
      </c>
    </row>
    <row r="24" spans="1:5" x14ac:dyDescent="0.2">
      <c r="A24" s="2" t="s">
        <v>42</v>
      </c>
      <c r="B24" s="2" t="s">
        <v>5</v>
      </c>
      <c r="C24" s="10">
        <f>'Despesa - Access'!J8+'Despesa - Access Emag'!J8</f>
        <v>180342</v>
      </c>
    </row>
    <row r="25" spans="1:5" x14ac:dyDescent="0.2">
      <c r="A25" s="2" t="s">
        <v>43</v>
      </c>
      <c r="B25" s="2" t="s">
        <v>6</v>
      </c>
      <c r="C25" s="10">
        <f>'Despesa - Access'!J9+'Despesa - Access Emag'!J9</f>
        <v>930176.53</v>
      </c>
    </row>
    <row r="26" spans="1:5" x14ac:dyDescent="0.2">
      <c r="A26" s="2" t="s">
        <v>45</v>
      </c>
      <c r="B26" s="2" t="s">
        <v>7</v>
      </c>
      <c r="C26" s="10">
        <f>'Despesa - Access'!J10+'Despesa - Access Emag'!J10</f>
        <v>103601.18000000001</v>
      </c>
    </row>
    <row r="27" spans="1:5" x14ac:dyDescent="0.2">
      <c r="A27" s="2" t="s">
        <v>46</v>
      </c>
      <c r="B27" s="2" t="s">
        <v>68</v>
      </c>
      <c r="C27" s="10">
        <f>'Despesa - Access'!J11+'Despesa - Access Emag'!J11</f>
        <v>18845.810000000001</v>
      </c>
    </row>
    <row r="28" spans="1:5" x14ac:dyDescent="0.2">
      <c r="A28" s="2" t="s">
        <v>47</v>
      </c>
      <c r="B28" s="2" t="s">
        <v>8</v>
      </c>
      <c r="C28" s="10">
        <f>'Despesa - Access'!J12+'Despesa - Access Emag'!J12</f>
        <v>208296.41</v>
      </c>
    </row>
    <row r="29" spans="1:5" x14ac:dyDescent="0.2">
      <c r="A29" s="2" t="s">
        <v>48</v>
      </c>
      <c r="B29" s="2" t="s">
        <v>9</v>
      </c>
      <c r="C29" s="10">
        <f>'Despesa - Access'!J13+'Despesa - Access Emag'!J13</f>
        <v>337418</v>
      </c>
    </row>
    <row r="30" spans="1:5" x14ac:dyDescent="0.2">
      <c r="A30" s="2" t="s">
        <v>49</v>
      </c>
      <c r="B30" s="2" t="s">
        <v>10</v>
      </c>
      <c r="C30" s="10">
        <f>'Despesa - Access'!J14+'Despesa - Access Emag'!J14</f>
        <v>107462.22</v>
      </c>
    </row>
    <row r="31" spans="1:5" x14ac:dyDescent="0.2">
      <c r="A31" s="2" t="s">
        <v>50</v>
      </c>
      <c r="B31" s="2" t="s">
        <v>11</v>
      </c>
      <c r="C31" s="10">
        <f>'Despesa - Access'!J15+'Despesa - Access Emag'!J15</f>
        <v>295105.69</v>
      </c>
    </row>
    <row r="32" spans="1:5" x14ac:dyDescent="0.2">
      <c r="A32" s="2" t="s">
        <v>51</v>
      </c>
      <c r="B32" s="2" t="s">
        <v>12</v>
      </c>
      <c r="C32" s="10">
        <f>'Despesa - Access'!J16+'Despesa - Access Emag'!J16</f>
        <v>3780</v>
      </c>
    </row>
    <row r="33" spans="1:5" x14ac:dyDescent="0.2">
      <c r="A33" s="2" t="s">
        <v>52</v>
      </c>
      <c r="B33" s="2" t="s">
        <v>13</v>
      </c>
      <c r="C33" s="10">
        <f>'Despesa - Access'!J17+'Despesa - Access Emag'!J17</f>
        <v>212086.39999999999</v>
      </c>
    </row>
    <row r="34" spans="1:5" ht="63.75" x14ac:dyDescent="0.2">
      <c r="A34" s="6" t="s">
        <v>53</v>
      </c>
      <c r="B34" s="7" t="s">
        <v>246</v>
      </c>
      <c r="C34" s="10">
        <f>'Despesa - Access'!J18+'Despesa - Access Emag'!J18</f>
        <v>175646.57</v>
      </c>
    </row>
    <row r="35" spans="1:5" x14ac:dyDescent="0.2">
      <c r="A35" s="2" t="s">
        <v>54</v>
      </c>
      <c r="B35" s="2" t="s">
        <v>14</v>
      </c>
      <c r="C35" s="10">
        <f>'Despesa - Access'!J19+'Despesa - Access Emag'!J19</f>
        <v>413904.01</v>
      </c>
    </row>
    <row r="36" spans="1:5" x14ac:dyDescent="0.2">
      <c r="A36" s="2" t="s">
        <v>55</v>
      </c>
      <c r="B36" s="2" t="s">
        <v>236</v>
      </c>
      <c r="C36" s="10">
        <f>'Despesa - Access'!J20+'Despesa - Access Emag'!J20</f>
        <v>224293.63</v>
      </c>
    </row>
    <row r="37" spans="1:5" x14ac:dyDescent="0.2">
      <c r="A37" s="2" t="s">
        <v>56</v>
      </c>
      <c r="B37" s="2" t="s">
        <v>15</v>
      </c>
      <c r="C37" s="10">
        <f>'Despesa - Access'!J21+'Despesa - Access Emag'!J21</f>
        <v>5864.8</v>
      </c>
    </row>
    <row r="38" spans="1:5" ht="25.5" x14ac:dyDescent="0.2">
      <c r="A38" s="6" t="s">
        <v>57</v>
      </c>
      <c r="B38" s="26" t="s">
        <v>69</v>
      </c>
      <c r="C38" s="10">
        <f>'Despesa - Access'!J22+'Despesa - Access Emag'!J22</f>
        <v>711404.82</v>
      </c>
    </row>
    <row r="39" spans="1:5" x14ac:dyDescent="0.2">
      <c r="A39" s="2" t="s">
        <v>58</v>
      </c>
      <c r="B39" s="2" t="s">
        <v>16</v>
      </c>
      <c r="C39" s="10">
        <f>'Despesa - Access'!J23+'Despesa - Access Emag'!J23</f>
        <v>82429.77</v>
      </c>
    </row>
    <row r="40" spans="1:5" x14ac:dyDescent="0.2">
      <c r="A40" s="2" t="s">
        <v>59</v>
      </c>
      <c r="B40" s="2" t="s">
        <v>17</v>
      </c>
      <c r="C40" s="10">
        <f>'Despesa - Access'!J24+'Despesa - Access Emag'!J24</f>
        <v>777.8</v>
      </c>
    </row>
    <row r="41" spans="1:5" x14ac:dyDescent="0.2">
      <c r="A41" s="2" t="s">
        <v>60</v>
      </c>
      <c r="B41" s="2" t="s">
        <v>18</v>
      </c>
      <c r="C41" s="10">
        <f>'Despesa - Access'!J25+'Despesa - Access Emag'!J25</f>
        <v>29007.9</v>
      </c>
    </row>
    <row r="42" spans="1:5" x14ac:dyDescent="0.2">
      <c r="A42" s="2" t="s">
        <v>61</v>
      </c>
      <c r="B42" s="2" t="s">
        <v>19</v>
      </c>
      <c r="C42" s="10">
        <f>'Despesa - Access'!J26+'Despesa - Access Emag'!J26</f>
        <v>8154.8</v>
      </c>
    </row>
    <row r="43" spans="1:5" x14ac:dyDescent="0.2">
      <c r="A43" s="2" t="s">
        <v>62</v>
      </c>
      <c r="B43" s="2" t="s">
        <v>20</v>
      </c>
      <c r="C43" s="10">
        <f>'Despesa - Access'!J27+'Despesa - Access Emag'!J27</f>
        <v>15947.66</v>
      </c>
    </row>
    <row r="44" spans="1:5" x14ac:dyDescent="0.2">
      <c r="A44" s="2" t="s">
        <v>63</v>
      </c>
      <c r="B44" s="2" t="s">
        <v>21</v>
      </c>
      <c r="C44" s="10">
        <f>'Despesa - Access'!J28+'Despesa - Access Emag'!J28</f>
        <v>25934.39</v>
      </c>
    </row>
    <row r="45" spans="1:5" x14ac:dyDescent="0.2">
      <c r="A45" s="2" t="s">
        <v>64</v>
      </c>
      <c r="B45" s="2" t="s">
        <v>70</v>
      </c>
      <c r="C45" s="10">
        <f>'Despesa - Access'!J29+'Despesa - Access Emag'!J29</f>
        <v>4277.33</v>
      </c>
    </row>
    <row r="46" spans="1:5" x14ac:dyDescent="0.2">
      <c r="A46" s="2" t="s">
        <v>65</v>
      </c>
      <c r="B46" s="2" t="s">
        <v>22</v>
      </c>
      <c r="C46" s="10">
        <f>'Despesa - Access'!J30+'Despesa - Access Emag'!J30</f>
        <v>0</v>
      </c>
    </row>
    <row r="47" spans="1:5" x14ac:dyDescent="0.2">
      <c r="A47" s="2" t="s">
        <v>66</v>
      </c>
      <c r="B47" s="2" t="s">
        <v>23</v>
      </c>
      <c r="C47" s="10">
        <f>'Despesa - Access'!J31+'Despesa - Access Emag'!J31</f>
        <v>895690.68</v>
      </c>
    </row>
    <row r="48" spans="1:5" x14ac:dyDescent="0.2">
      <c r="A48" s="103" t="s">
        <v>71</v>
      </c>
      <c r="B48" s="103"/>
      <c r="C48" s="10">
        <f>SUM(C22:C47)</f>
        <v>6686397.1599999992</v>
      </c>
      <c r="D48" s="54">
        <f>6673497.68+12899.48</f>
        <v>6686397.1600000001</v>
      </c>
      <c r="E48" s="8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Access'!J32+'Despesa - Access Emag'!J32</f>
        <v>0</v>
      </c>
    </row>
    <row r="54" spans="1:5" x14ac:dyDescent="0.2">
      <c r="A54" s="2" t="s">
        <v>41</v>
      </c>
      <c r="B54" s="2" t="s">
        <v>26</v>
      </c>
      <c r="C54" s="10">
        <f>'Despesa - Access'!J33+'Despesa - Access Emag'!J33</f>
        <v>0</v>
      </c>
    </row>
    <row r="55" spans="1:5" x14ac:dyDescent="0.2">
      <c r="A55" s="2" t="s">
        <v>42</v>
      </c>
      <c r="B55" s="2" t="s">
        <v>67</v>
      </c>
      <c r="C55" s="10">
        <f>'Despesa - Access'!J34+'Despesa - Access Emag'!J34</f>
        <v>0</v>
      </c>
    </row>
    <row r="56" spans="1:5" x14ac:dyDescent="0.2">
      <c r="A56" s="2" t="s">
        <v>43</v>
      </c>
      <c r="B56" s="2" t="s">
        <v>27</v>
      </c>
      <c r="C56" s="10">
        <f>'Despesa - Access'!J35+'Despesa - Access Emag'!J35</f>
        <v>0</v>
      </c>
    </row>
    <row r="57" spans="1:5" x14ac:dyDescent="0.2">
      <c r="A57" s="2" t="s">
        <v>45</v>
      </c>
      <c r="B57" s="2" t="s">
        <v>28</v>
      </c>
      <c r="C57" s="10">
        <f>'Despesa - Access'!J36+'Despesa - Access Emag'!J36</f>
        <v>32179.42</v>
      </c>
    </row>
    <row r="58" spans="1:5" x14ac:dyDescent="0.2">
      <c r="A58" s="103" t="s">
        <v>71</v>
      </c>
      <c r="B58" s="103"/>
      <c r="C58" s="10">
        <f>SUM(C53:C57)</f>
        <v>32179.42</v>
      </c>
      <c r="D58" s="54">
        <v>32179.42</v>
      </c>
      <c r="E58" s="8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Access'!J37+'Despesa - Access Emag'!J37</f>
        <v>0</v>
      </c>
    </row>
    <row r="64" spans="1:5" x14ac:dyDescent="0.2">
      <c r="A64" s="2" t="s">
        <v>41</v>
      </c>
      <c r="B64" s="2" t="s">
        <v>31</v>
      </c>
      <c r="C64" s="10">
        <f>'Despesa - Access'!J38+'Despesa - Access Emag'!J38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Access'!J2+'Financeiro - Access Emag'!J2</f>
        <v>42623597.560000002</v>
      </c>
    </row>
    <row r="71" spans="1:3" x14ac:dyDescent="0.2">
      <c r="A71" s="2" t="s">
        <v>41</v>
      </c>
      <c r="B71" s="2" t="s">
        <v>76</v>
      </c>
      <c r="C71" s="9">
        <f>'Financeiro - Access'!J3+'Financeiro - Access Emag'!J3</f>
        <v>6739603.0699999994</v>
      </c>
    </row>
    <row r="72" spans="1:3" x14ac:dyDescent="0.2">
      <c r="A72" s="2" t="s">
        <v>42</v>
      </c>
      <c r="B72" s="2" t="s">
        <v>215</v>
      </c>
      <c r="C72" s="9">
        <f>'Financeiro - Access'!J4+'Financeiro - Access Emag'!J4</f>
        <v>47511.15</v>
      </c>
    </row>
    <row r="73" spans="1:3" x14ac:dyDescent="0.2">
      <c r="A73" s="2" t="s">
        <v>43</v>
      </c>
      <c r="B73" s="2" t="s">
        <v>238</v>
      </c>
      <c r="C73" s="9">
        <f>'Financeiro - Access'!J5+'Financeiro - Access Emag'!J5</f>
        <v>0</v>
      </c>
    </row>
    <row r="74" spans="1:3" x14ac:dyDescent="0.2">
      <c r="A74" s="103" t="s">
        <v>71</v>
      </c>
      <c r="B74" s="103"/>
      <c r="C74" s="10">
        <f>SUM(C70:C73)</f>
        <v>49410711.780000001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9" t="s">
        <v>293</v>
      </c>
      <c r="B84" s="119"/>
      <c r="C84" s="119"/>
    </row>
    <row r="85" spans="1:5" x14ac:dyDescent="0.2">
      <c r="A85" s="119" t="s">
        <v>382</v>
      </c>
      <c r="B85" s="119"/>
      <c r="C85" s="119"/>
      <c r="E85" s="54"/>
    </row>
    <row r="86" spans="1:5" x14ac:dyDescent="0.2">
      <c r="A86" s="128"/>
      <c r="B86" s="128"/>
      <c r="C86" s="128"/>
    </row>
    <row r="87" spans="1:5" x14ac:dyDescent="0.2">
      <c r="A87" s="109"/>
      <c r="B87" s="109"/>
      <c r="C87" s="109"/>
      <c r="D87" s="109"/>
      <c r="E87" s="109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68"/>
      <c r="B89" s="68"/>
      <c r="C89" s="68"/>
    </row>
    <row r="90" spans="1:5" x14ac:dyDescent="0.2">
      <c r="C90" s="11" t="s">
        <v>105</v>
      </c>
      <c r="D90" s="71" t="s">
        <v>104</v>
      </c>
      <c r="E90" s="3" t="s">
        <v>71</v>
      </c>
    </row>
    <row r="91" spans="1:5" x14ac:dyDescent="0.2">
      <c r="A91" s="112"/>
      <c r="B91" s="111"/>
      <c r="C91" s="9">
        <v>0</v>
      </c>
      <c r="D91" s="45">
        <f>'Anexo I - Mai'!C91</f>
        <v>0</v>
      </c>
      <c r="E91" s="9">
        <f>C91-D91</f>
        <v>0</v>
      </c>
    </row>
    <row r="92" spans="1:5" x14ac:dyDescent="0.2">
      <c r="A92" s="112" t="s">
        <v>343</v>
      </c>
      <c r="B92" s="111"/>
      <c r="C92" s="9">
        <v>302580179.68000001</v>
      </c>
      <c r="D92" s="45">
        <f>'Anexo I - Mai'!C92</f>
        <v>253250905.02000001</v>
      </c>
      <c r="E92" s="9">
        <f>C92-D92</f>
        <v>49329274.659999996</v>
      </c>
    </row>
    <row r="93" spans="1:5" x14ac:dyDescent="0.2">
      <c r="A93" s="112" t="s">
        <v>344</v>
      </c>
      <c r="B93" s="111"/>
      <c r="C93" s="9">
        <v>60354.31</v>
      </c>
      <c r="D93" s="45">
        <f>'Anexo I - Mai'!C93</f>
        <v>47454.83</v>
      </c>
      <c r="E93" s="9">
        <f>C93-D93</f>
        <v>12899.479999999996</v>
      </c>
    </row>
    <row r="94" spans="1:5" x14ac:dyDescent="0.2">
      <c r="A94" s="112" t="s">
        <v>97</v>
      </c>
      <c r="B94" s="120"/>
      <c r="C94" s="120"/>
      <c r="D94" s="111"/>
      <c r="E94" s="27">
        <f>SUM(E91:E93)</f>
        <v>49342174.139999993</v>
      </c>
    </row>
    <row r="95" spans="1:5" x14ac:dyDescent="0.2">
      <c r="A95" s="112" t="s">
        <v>98</v>
      </c>
      <c r="B95" s="120"/>
      <c r="C95" s="120"/>
      <c r="D95" s="111"/>
      <c r="E95" s="27">
        <f>C17+C48+C58+C65</f>
        <v>49342174.140000001</v>
      </c>
    </row>
    <row r="97" spans="4:6" x14ac:dyDescent="0.2">
      <c r="D97" s="72" t="s">
        <v>337</v>
      </c>
      <c r="E97" s="56">
        <f>49329274.66+12899.48</f>
        <v>49342174.139999993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  <row r="100" spans="4:6" x14ac:dyDescent="0.2">
      <c r="E100" s="54"/>
    </row>
    <row r="101" spans="4:6" x14ac:dyDescent="0.2">
      <c r="E101" s="54" t="s">
        <v>249</v>
      </c>
    </row>
  </sheetData>
  <mergeCells count="23">
    <mergeCell ref="A95:D95"/>
    <mergeCell ref="A83:B83"/>
    <mergeCell ref="A48:B48"/>
    <mergeCell ref="A58:B58"/>
    <mergeCell ref="A65:B65"/>
    <mergeCell ref="A74:B74"/>
    <mergeCell ref="A85:C85"/>
    <mergeCell ref="A94:D94"/>
    <mergeCell ref="A87:E87"/>
    <mergeCell ref="A91:B91"/>
    <mergeCell ref="A92:B92"/>
    <mergeCell ref="A86:C86"/>
    <mergeCell ref="A88:E88"/>
    <mergeCell ref="A93:B93"/>
    <mergeCell ref="A84:C84"/>
    <mergeCell ref="B6:C6"/>
    <mergeCell ref="B7:C7"/>
    <mergeCell ref="B8:C8"/>
    <mergeCell ref="A17:B17"/>
    <mergeCell ref="A1:C1"/>
    <mergeCell ref="B3:C3"/>
    <mergeCell ref="B4:C4"/>
    <mergeCell ref="B5:C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view="pageBreakPreview" topLeftCell="A67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4" width="15.7109375" style="54" customWidth="1"/>
    <col min="5" max="5" width="17.7109375" customWidth="1"/>
    <col min="6" max="6" width="19.5703125" customWidth="1"/>
    <col min="7" max="7" width="25.85546875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">
        <v>221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">
        <v>222</v>
      </c>
      <c r="C6" s="107"/>
    </row>
    <row r="7" spans="1:3" x14ac:dyDescent="0.2">
      <c r="A7" s="2" t="s">
        <v>36</v>
      </c>
      <c r="B7" s="104" t="s">
        <v>363</v>
      </c>
      <c r="C7" s="105"/>
    </row>
    <row r="8" spans="1:3" x14ac:dyDescent="0.2">
      <c r="A8" s="2" t="s">
        <v>37</v>
      </c>
      <c r="B8" s="106">
        <v>42965</v>
      </c>
      <c r="C8" s="107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Access'!K2+'Despesa - Access Emag'!K2</f>
        <v>28642764.91</v>
      </c>
    </row>
    <row r="14" spans="1:3" x14ac:dyDescent="0.2">
      <c r="A14" s="2" t="s">
        <v>41</v>
      </c>
      <c r="B14" s="5" t="s">
        <v>2</v>
      </c>
      <c r="C14" s="10">
        <f>'Despesa - Access'!K3+'Despesa - Access Emag'!K3</f>
        <v>8014821.1100000003</v>
      </c>
    </row>
    <row r="15" spans="1:3" x14ac:dyDescent="0.2">
      <c r="A15" s="2" t="s">
        <v>42</v>
      </c>
      <c r="B15" s="5" t="s">
        <v>234</v>
      </c>
      <c r="C15" s="10">
        <f>'Despesa - Access'!K4+'Despesa - Access Emag'!K4</f>
        <v>5127716.76</v>
      </c>
    </row>
    <row r="16" spans="1:3" ht="51" x14ac:dyDescent="0.2">
      <c r="A16" s="6" t="s">
        <v>43</v>
      </c>
      <c r="B16" s="5" t="s">
        <v>242</v>
      </c>
      <c r="C16" s="10">
        <f>'Despesa - Access'!K5+'Despesa - Access Emag'!K5</f>
        <v>0</v>
      </c>
    </row>
    <row r="17" spans="1:5" x14ac:dyDescent="0.2">
      <c r="A17" s="103" t="s">
        <v>71</v>
      </c>
      <c r="B17" s="103"/>
      <c r="C17" s="10">
        <f>SUM(C13:C16)</f>
        <v>41785302.780000001</v>
      </c>
      <c r="D17" s="54">
        <v>41785302.780000001</v>
      </c>
      <c r="E17" s="96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Access'!K6+'Despesa - Access Emag'!K6</f>
        <v>92071.6</v>
      </c>
    </row>
    <row r="23" spans="1:5" x14ac:dyDescent="0.2">
      <c r="A23" s="2" t="s">
        <v>41</v>
      </c>
      <c r="B23" s="2" t="s">
        <v>4</v>
      </c>
      <c r="C23" s="10">
        <f>'Despesa - Access'!K7+'Despesa - Access Emag'!K7</f>
        <v>1593312.98</v>
      </c>
    </row>
    <row r="24" spans="1:5" x14ac:dyDescent="0.2">
      <c r="A24" s="2" t="s">
        <v>42</v>
      </c>
      <c r="B24" s="2" t="s">
        <v>5</v>
      </c>
      <c r="C24" s="10">
        <f>'Despesa - Access'!K8+'Despesa - Access Emag'!K8</f>
        <v>183837</v>
      </c>
    </row>
    <row r="25" spans="1:5" x14ac:dyDescent="0.2">
      <c r="A25" s="2" t="s">
        <v>43</v>
      </c>
      <c r="B25" s="2" t="s">
        <v>6</v>
      </c>
      <c r="C25" s="10">
        <f>'Despesa - Access'!K9+'Despesa - Access Emag'!K9</f>
        <v>917349.4</v>
      </c>
    </row>
    <row r="26" spans="1:5" x14ac:dyDescent="0.2">
      <c r="A26" s="2" t="s">
        <v>45</v>
      </c>
      <c r="B26" s="2" t="s">
        <v>7</v>
      </c>
      <c r="C26" s="10">
        <f>'Despesa - Access'!K10+'Despesa - Access Emag'!K10</f>
        <v>76771.199999999997</v>
      </c>
    </row>
    <row r="27" spans="1:5" x14ac:dyDescent="0.2">
      <c r="A27" s="2" t="s">
        <v>46</v>
      </c>
      <c r="B27" s="2" t="s">
        <v>68</v>
      </c>
      <c r="C27" s="10">
        <f>'Despesa - Access'!K11+'Despesa - Access Emag'!K11</f>
        <v>65896.47</v>
      </c>
    </row>
    <row r="28" spans="1:5" x14ac:dyDescent="0.2">
      <c r="A28" s="2" t="s">
        <v>47</v>
      </c>
      <c r="B28" s="2" t="s">
        <v>8</v>
      </c>
      <c r="C28" s="10">
        <f>'Despesa - Access'!K12+'Despesa - Access Emag'!K12</f>
        <v>205774.49</v>
      </c>
    </row>
    <row r="29" spans="1:5" x14ac:dyDescent="0.2">
      <c r="A29" s="2" t="s">
        <v>48</v>
      </c>
      <c r="B29" s="2" t="s">
        <v>9</v>
      </c>
      <c r="C29" s="10">
        <f>'Despesa - Access'!K13+'Despesa - Access Emag'!K13</f>
        <v>337418</v>
      </c>
    </row>
    <row r="30" spans="1:5" x14ac:dyDescent="0.2">
      <c r="A30" s="2" t="s">
        <v>49</v>
      </c>
      <c r="B30" s="2" t="s">
        <v>10</v>
      </c>
      <c r="C30" s="10">
        <f>'Despesa - Access'!K14+'Despesa - Access Emag'!K14</f>
        <v>105471.78</v>
      </c>
    </row>
    <row r="31" spans="1:5" x14ac:dyDescent="0.2">
      <c r="A31" s="2" t="s">
        <v>50</v>
      </c>
      <c r="B31" s="2" t="s">
        <v>11</v>
      </c>
      <c r="C31" s="10">
        <f>'Despesa - Access'!K15+'Despesa - Access Emag'!K15</f>
        <v>266102.90999999997</v>
      </c>
    </row>
    <row r="32" spans="1:5" x14ac:dyDescent="0.2">
      <c r="A32" s="2" t="s">
        <v>51</v>
      </c>
      <c r="B32" s="2" t="s">
        <v>12</v>
      </c>
      <c r="C32" s="10">
        <f>'Despesa - Access'!K16+'Despesa - Access Emag'!K16</f>
        <v>7561</v>
      </c>
    </row>
    <row r="33" spans="1:5" x14ac:dyDescent="0.2">
      <c r="A33" s="2" t="s">
        <v>52</v>
      </c>
      <c r="B33" s="2" t="s">
        <v>13</v>
      </c>
      <c r="C33" s="10">
        <f>'Despesa - Access'!K17+'Despesa - Access Emag'!K17</f>
        <v>166689.62</v>
      </c>
    </row>
    <row r="34" spans="1:5" ht="63.75" x14ac:dyDescent="0.2">
      <c r="A34" s="6" t="s">
        <v>53</v>
      </c>
      <c r="B34" s="7" t="s">
        <v>247</v>
      </c>
      <c r="C34" s="10">
        <f>'Despesa - Access'!K18+'Despesa - Access Emag'!K18</f>
        <v>98068.96</v>
      </c>
    </row>
    <row r="35" spans="1:5" x14ac:dyDescent="0.2">
      <c r="A35" s="2" t="s">
        <v>54</v>
      </c>
      <c r="B35" s="2" t="s">
        <v>14</v>
      </c>
      <c r="C35" s="10">
        <f>'Despesa - Access'!K19+'Despesa - Access Emag'!K19</f>
        <v>424644.29</v>
      </c>
    </row>
    <row r="36" spans="1:5" x14ac:dyDescent="0.2">
      <c r="A36" s="2" t="s">
        <v>55</v>
      </c>
      <c r="B36" s="2" t="s">
        <v>236</v>
      </c>
      <c r="C36" s="10">
        <f>'Despesa - Access'!K20+'Despesa - Access Emag'!K20</f>
        <v>195450.63</v>
      </c>
    </row>
    <row r="37" spans="1:5" x14ac:dyDescent="0.2">
      <c r="A37" s="2" t="s">
        <v>56</v>
      </c>
      <c r="B37" s="2" t="s">
        <v>15</v>
      </c>
      <c r="C37" s="10">
        <f>'Despesa - Access'!K21+'Despesa - Access Emag'!K21</f>
        <v>4856.88</v>
      </c>
    </row>
    <row r="38" spans="1:5" ht="25.5" x14ac:dyDescent="0.2">
      <c r="A38" s="6" t="s">
        <v>57</v>
      </c>
      <c r="B38" s="26" t="s">
        <v>69</v>
      </c>
      <c r="C38" s="10">
        <f>'Despesa - Access'!K22+'Despesa - Access Emag'!K22</f>
        <v>510147.49</v>
      </c>
    </row>
    <row r="39" spans="1:5" x14ac:dyDescent="0.2">
      <c r="A39" s="2" t="s">
        <v>58</v>
      </c>
      <c r="B39" s="2" t="s">
        <v>16</v>
      </c>
      <c r="C39" s="10">
        <f>'Despesa - Access'!K23+'Despesa - Access Emag'!K23</f>
        <v>95136.78</v>
      </c>
    </row>
    <row r="40" spans="1:5" x14ac:dyDescent="0.2">
      <c r="A40" s="2" t="s">
        <v>59</v>
      </c>
      <c r="B40" s="2" t="s">
        <v>17</v>
      </c>
      <c r="C40" s="10">
        <f>'Despesa - Access'!K24+'Despesa - Access Emag'!K24</f>
        <v>0</v>
      </c>
    </row>
    <row r="41" spans="1:5" x14ac:dyDescent="0.2">
      <c r="A41" s="2" t="s">
        <v>60</v>
      </c>
      <c r="B41" s="2" t="s">
        <v>18</v>
      </c>
      <c r="C41" s="10">
        <f>'Despesa - Access'!K25+'Despesa - Access Emag'!K25</f>
        <v>1162</v>
      </c>
    </row>
    <row r="42" spans="1:5" x14ac:dyDescent="0.2">
      <c r="A42" s="2" t="s">
        <v>61</v>
      </c>
      <c r="B42" s="2" t="s">
        <v>19</v>
      </c>
      <c r="C42" s="10">
        <f>'Despesa - Access'!K26+'Despesa - Access Emag'!K26</f>
        <v>2232</v>
      </c>
    </row>
    <row r="43" spans="1:5" x14ac:dyDescent="0.2">
      <c r="A43" s="2" t="s">
        <v>62</v>
      </c>
      <c r="B43" s="2" t="s">
        <v>20</v>
      </c>
      <c r="C43" s="10">
        <f>'Despesa - Access'!K27+'Despesa - Access Emag'!K27</f>
        <v>13473.88</v>
      </c>
    </row>
    <row r="44" spans="1:5" x14ac:dyDescent="0.2">
      <c r="A44" s="2" t="s">
        <v>63</v>
      </c>
      <c r="B44" s="2" t="s">
        <v>21</v>
      </c>
      <c r="C44" s="10">
        <f>'Despesa - Access'!K28+'Despesa - Access Emag'!K28</f>
        <v>22713</v>
      </c>
    </row>
    <row r="45" spans="1:5" x14ac:dyDescent="0.2">
      <c r="A45" s="2" t="s">
        <v>64</v>
      </c>
      <c r="B45" s="2" t="s">
        <v>70</v>
      </c>
      <c r="C45" s="10">
        <f>'Despesa - Access'!K29+'Despesa - Access Emag'!K29</f>
        <v>10640.58</v>
      </c>
    </row>
    <row r="46" spans="1:5" x14ac:dyDescent="0.2">
      <c r="A46" s="2" t="s">
        <v>65</v>
      </c>
      <c r="B46" s="2" t="s">
        <v>22</v>
      </c>
      <c r="C46" s="10">
        <f>'Despesa - Access'!K30+'Despesa - Access Emag'!K30</f>
        <v>0</v>
      </c>
    </row>
    <row r="47" spans="1:5" x14ac:dyDescent="0.2">
      <c r="A47" s="2" t="s">
        <v>66</v>
      </c>
      <c r="B47" s="2" t="s">
        <v>23</v>
      </c>
      <c r="C47" s="10">
        <f>'Despesa - Access'!K31+'Despesa - Access Emag'!K31</f>
        <v>882222.38</v>
      </c>
    </row>
    <row r="48" spans="1:5" x14ac:dyDescent="0.2">
      <c r="A48" s="103" t="s">
        <v>71</v>
      </c>
      <c r="B48" s="103"/>
      <c r="C48" s="10">
        <f>SUM(C22:C47)</f>
        <v>6279005.3200000003</v>
      </c>
      <c r="D48" s="54">
        <f>15108.59+6263896.73</f>
        <v>6279005.3200000003</v>
      </c>
      <c r="E48" s="96">
        <f>C48-D48</f>
        <v>0</v>
      </c>
    </row>
    <row r="50" spans="1:4" x14ac:dyDescent="0.2">
      <c r="A50" s="4" t="s">
        <v>226</v>
      </c>
    </row>
    <row r="52" spans="1:4" x14ac:dyDescent="0.2">
      <c r="A52" s="3" t="s">
        <v>38</v>
      </c>
      <c r="B52" s="3" t="s">
        <v>39</v>
      </c>
      <c r="C52" s="11" t="s">
        <v>244</v>
      </c>
    </row>
    <row r="53" spans="1:4" x14ac:dyDescent="0.2">
      <c r="A53" s="2" t="s">
        <v>40</v>
      </c>
      <c r="B53" s="2" t="s">
        <v>25</v>
      </c>
      <c r="C53" s="10">
        <f>'Despesa - Access'!K32+'Despesa - Access Emag'!K32</f>
        <v>0</v>
      </c>
    </row>
    <row r="54" spans="1:4" x14ac:dyDescent="0.2">
      <c r="A54" s="2" t="s">
        <v>41</v>
      </c>
      <c r="B54" s="2" t="s">
        <v>26</v>
      </c>
      <c r="C54" s="10">
        <f>'Despesa - Access'!K33+'Despesa - Access Emag'!K33</f>
        <v>0</v>
      </c>
    </row>
    <row r="55" spans="1:4" x14ac:dyDescent="0.2">
      <c r="A55" s="2" t="s">
        <v>42</v>
      </c>
      <c r="B55" s="2" t="s">
        <v>67</v>
      </c>
      <c r="C55" s="10">
        <f>'Despesa - Access'!K34+'Despesa - Access Emag'!K34</f>
        <v>0</v>
      </c>
    </row>
    <row r="56" spans="1:4" x14ac:dyDescent="0.2">
      <c r="A56" s="2" t="s">
        <v>43</v>
      </c>
      <c r="B56" s="2" t="s">
        <v>27</v>
      </c>
      <c r="C56" s="10">
        <f>'Despesa - Access'!K35+'Despesa - Access Emag'!K35</f>
        <v>0</v>
      </c>
    </row>
    <row r="57" spans="1:4" x14ac:dyDescent="0.2">
      <c r="A57" s="2" t="s">
        <v>45</v>
      </c>
      <c r="B57" s="2" t="s">
        <v>28</v>
      </c>
      <c r="C57" s="10">
        <f>'Despesa - Access'!K36+'Despesa - Access Emag'!K36</f>
        <v>5174.34</v>
      </c>
    </row>
    <row r="58" spans="1:4" x14ac:dyDescent="0.2">
      <c r="A58" s="103" t="s">
        <v>71</v>
      </c>
      <c r="B58" s="103"/>
      <c r="C58" s="10">
        <f>SUM(C53:C57)</f>
        <v>5174.34</v>
      </c>
      <c r="D58" s="54" t="s">
        <v>345</v>
      </c>
    </row>
    <row r="60" spans="1:4" x14ac:dyDescent="0.2">
      <c r="A60" s="4" t="s">
        <v>73</v>
      </c>
    </row>
    <row r="62" spans="1:4" x14ac:dyDescent="0.2">
      <c r="A62" s="3" t="s">
        <v>38</v>
      </c>
      <c r="B62" s="3" t="s">
        <v>39</v>
      </c>
      <c r="C62" s="11" t="s">
        <v>244</v>
      </c>
    </row>
    <row r="63" spans="1:4" x14ac:dyDescent="0.2">
      <c r="A63" s="2" t="s">
        <v>40</v>
      </c>
      <c r="B63" s="2" t="s">
        <v>30</v>
      </c>
      <c r="C63" s="10">
        <f>'Despesa - Access'!K37+'Despesa - Access Emag'!K37</f>
        <v>0</v>
      </c>
    </row>
    <row r="64" spans="1:4" x14ac:dyDescent="0.2">
      <c r="A64" s="2" t="s">
        <v>41</v>
      </c>
      <c r="B64" s="2" t="s">
        <v>31</v>
      </c>
      <c r="C64" s="10">
        <f>'Despesa - Access'!K38+'Despesa - Access Emag'!K38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Access'!K2+'Financeiro - Access Emag'!K2</f>
        <v>41844506.219999999</v>
      </c>
    </row>
    <row r="71" spans="1:3" x14ac:dyDescent="0.2">
      <c r="A71" s="2" t="s">
        <v>41</v>
      </c>
      <c r="B71" s="2" t="s">
        <v>76</v>
      </c>
      <c r="C71" s="9">
        <f>'Financeiro - Access'!K3+'Financeiro - Access Emag'!K3</f>
        <v>6734302.9400000004</v>
      </c>
    </row>
    <row r="72" spans="1:3" x14ac:dyDescent="0.2">
      <c r="A72" s="2" t="s">
        <v>42</v>
      </c>
      <c r="B72" s="2" t="s">
        <v>215</v>
      </c>
      <c r="C72" s="9">
        <f>'Financeiro - Access'!K4+'Financeiro - Access Emag'!K4</f>
        <v>37353.760000000002</v>
      </c>
    </row>
    <row r="73" spans="1:3" x14ac:dyDescent="0.2">
      <c r="A73" s="2" t="s">
        <v>43</v>
      </c>
      <c r="B73" s="2" t="s">
        <v>238</v>
      </c>
      <c r="C73" s="9">
        <f>'Financeiro - Access'!K5+'Financeiro - Access Emag'!K5</f>
        <v>0</v>
      </c>
    </row>
    <row r="74" spans="1:3" x14ac:dyDescent="0.2">
      <c r="A74" s="103" t="s">
        <v>71</v>
      </c>
      <c r="B74" s="103"/>
      <c r="C74" s="10">
        <f>SUM(C70:C73)</f>
        <v>48616162.919999994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9" t="s">
        <v>293</v>
      </c>
      <c r="B84" s="119"/>
      <c r="C84" s="119"/>
    </row>
    <row r="85" spans="1:5" x14ac:dyDescent="0.2">
      <c r="A85" s="127" t="s">
        <v>365</v>
      </c>
      <c r="B85" s="127"/>
      <c r="C85" s="127"/>
    </row>
    <row r="86" spans="1:5" x14ac:dyDescent="0.2">
      <c r="A86" s="129"/>
      <c r="B86" s="129"/>
      <c r="C86" s="129"/>
    </row>
    <row r="87" spans="1:5" x14ac:dyDescent="0.2">
      <c r="A87" s="115"/>
      <c r="B87" s="126"/>
      <c r="C87" s="126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69"/>
      <c r="B89" s="69"/>
      <c r="C89" s="69"/>
      <c r="D89"/>
    </row>
    <row r="90" spans="1:5" x14ac:dyDescent="0.2">
      <c r="C90" s="11" t="s">
        <v>106</v>
      </c>
      <c r="D90" s="3" t="s">
        <v>105</v>
      </c>
      <c r="E90" s="3" t="s">
        <v>71</v>
      </c>
    </row>
    <row r="91" spans="1:5" x14ac:dyDescent="0.2">
      <c r="A91" s="112"/>
      <c r="B91" s="111"/>
      <c r="C91" s="9">
        <v>0</v>
      </c>
      <c r="D91" s="9">
        <f>'Anexo I - Mai'!C91</f>
        <v>0</v>
      </c>
      <c r="E91" s="9">
        <f>C91-D91</f>
        <v>0</v>
      </c>
    </row>
    <row r="92" spans="1:5" x14ac:dyDescent="0.2">
      <c r="A92" s="112" t="s">
        <v>343</v>
      </c>
      <c r="B92" s="111"/>
      <c r="C92" s="9">
        <v>350634553.52999997</v>
      </c>
      <c r="D92" s="9">
        <f>'Anexo I - Jun'!C92</f>
        <v>302580179.68000001</v>
      </c>
      <c r="E92" s="9">
        <f>C92-D92</f>
        <v>48054373.849999964</v>
      </c>
    </row>
    <row r="93" spans="1:5" x14ac:dyDescent="0.2">
      <c r="A93" s="112" t="s">
        <v>344</v>
      </c>
      <c r="B93" s="111"/>
      <c r="C93" s="9">
        <v>75462.899999999994</v>
      </c>
      <c r="D93" s="9">
        <f>'Anexo I - Jun'!C93</f>
        <v>60354.31</v>
      </c>
      <c r="E93" s="9">
        <f>C93-D93</f>
        <v>15108.589999999997</v>
      </c>
    </row>
    <row r="94" spans="1:5" x14ac:dyDescent="0.2">
      <c r="A94" s="112" t="s">
        <v>97</v>
      </c>
      <c r="B94" s="120"/>
      <c r="C94" s="120"/>
      <c r="D94" s="111"/>
      <c r="E94" s="27">
        <f>SUM(E91:E93)</f>
        <v>48069482.439999968</v>
      </c>
    </row>
    <row r="95" spans="1:5" x14ac:dyDescent="0.2">
      <c r="A95" s="112" t="s">
        <v>98</v>
      </c>
      <c r="B95" s="120"/>
      <c r="C95" s="120"/>
      <c r="D95" s="111"/>
      <c r="E95" s="27">
        <f>C17+C48+C58+C65</f>
        <v>48069482.440000005</v>
      </c>
    </row>
    <row r="96" spans="1:5" x14ac:dyDescent="0.2">
      <c r="D96"/>
    </row>
    <row r="97" spans="4:6" x14ac:dyDescent="0.2">
      <c r="D97" s="61" t="s">
        <v>337</v>
      </c>
      <c r="E97" s="56">
        <f>41785302.78+6263896.73+5174.34+15108.59</f>
        <v>48069482.440000013</v>
      </c>
    </row>
    <row r="98" spans="4:6" x14ac:dyDescent="0.2">
      <c r="D98"/>
      <c r="E98" s="57" t="str">
        <f>IF(E95=E97,"Despesa Ok","Diferença")</f>
        <v>Despesa Ok</v>
      </c>
      <c r="F98" s="8"/>
    </row>
    <row r="99" spans="4:6" x14ac:dyDescent="0.2">
      <c r="D99"/>
      <c r="E99" s="8">
        <f>E95-E97</f>
        <v>0</v>
      </c>
      <c r="F99" s="60" t="s">
        <v>338</v>
      </c>
    </row>
    <row r="100" spans="4:6" x14ac:dyDescent="0.2">
      <c r="D100"/>
      <c r="E100" s="54"/>
    </row>
    <row r="101" spans="4:6" x14ac:dyDescent="0.2">
      <c r="D101"/>
      <c r="E101" s="54" t="s">
        <v>249</v>
      </c>
    </row>
    <row r="102" spans="4:6" x14ac:dyDescent="0.2">
      <c r="D102"/>
    </row>
  </sheetData>
  <mergeCells count="23">
    <mergeCell ref="A87:C87"/>
    <mergeCell ref="A86:C86"/>
    <mergeCell ref="B7:C7"/>
    <mergeCell ref="B8:C8"/>
    <mergeCell ref="A17:B17"/>
    <mergeCell ref="A84:C84"/>
    <mergeCell ref="A83:B83"/>
    <mergeCell ref="A48:B48"/>
    <mergeCell ref="A58:B58"/>
    <mergeCell ref="A65:B65"/>
    <mergeCell ref="A74:B74"/>
    <mergeCell ref="A85:C85"/>
    <mergeCell ref="A1:C1"/>
    <mergeCell ref="B3:C3"/>
    <mergeCell ref="B4:C4"/>
    <mergeCell ref="B5:C5"/>
    <mergeCell ref="B6:C6"/>
    <mergeCell ref="A95:D95"/>
    <mergeCell ref="A88:E88"/>
    <mergeCell ref="A91:B91"/>
    <mergeCell ref="A92:B92"/>
    <mergeCell ref="A93:B93"/>
    <mergeCell ref="A94:D94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view="pageBreakPreview" topLeftCell="A67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6" customWidth="1"/>
    <col min="3" max="3" width="16.85546875" style="8" customWidth="1"/>
    <col min="4" max="4" width="15.7109375" style="54" customWidth="1"/>
    <col min="5" max="5" width="15.7109375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">
        <v>221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">
        <v>222</v>
      </c>
      <c r="C6" s="107"/>
    </row>
    <row r="7" spans="1:3" x14ac:dyDescent="0.2">
      <c r="A7" s="2" t="s">
        <v>36</v>
      </c>
      <c r="B7" s="104" t="s">
        <v>366</v>
      </c>
      <c r="C7" s="105"/>
    </row>
    <row r="8" spans="1:3" x14ac:dyDescent="0.2">
      <c r="A8" s="2" t="s">
        <v>37</v>
      </c>
      <c r="B8" s="130">
        <v>42998</v>
      </c>
      <c r="C8" s="107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244</v>
      </c>
    </row>
    <row r="13" spans="1:3" x14ac:dyDescent="0.2">
      <c r="A13" s="2" t="s">
        <v>40</v>
      </c>
      <c r="B13" s="5" t="s">
        <v>1</v>
      </c>
      <c r="C13" s="10">
        <f>'Despesa - Access'!L2+'Despesa - Access Emag'!L2</f>
        <v>28852487.48</v>
      </c>
    </row>
    <row r="14" spans="1:3" x14ac:dyDescent="0.2">
      <c r="A14" s="2" t="s">
        <v>41</v>
      </c>
      <c r="B14" s="5" t="s">
        <v>2</v>
      </c>
      <c r="C14" s="10">
        <f>'Despesa - Access'!L3+'Despesa - Access Emag'!L3</f>
        <v>7968470.8499999996</v>
      </c>
    </row>
    <row r="15" spans="1:3" x14ac:dyDescent="0.2">
      <c r="A15" s="2" t="s">
        <v>42</v>
      </c>
      <c r="B15" s="5" t="s">
        <v>234</v>
      </c>
      <c r="C15" s="10">
        <f>'Despesa - Access'!L4+'Despesa - Access Emag'!L4</f>
        <v>5173063.82</v>
      </c>
    </row>
    <row r="16" spans="1:3" ht="38.25" x14ac:dyDescent="0.2">
      <c r="A16" s="6" t="s">
        <v>43</v>
      </c>
      <c r="B16" s="5" t="s">
        <v>242</v>
      </c>
      <c r="C16" s="10">
        <f>'Despesa - Access'!L5+'Despesa - Access Emag'!L5</f>
        <v>0</v>
      </c>
    </row>
    <row r="17" spans="1:5" x14ac:dyDescent="0.2">
      <c r="A17" s="103" t="s">
        <v>71</v>
      </c>
      <c r="B17" s="103"/>
      <c r="C17" s="10">
        <f>SUM(C13:C16)</f>
        <v>41994022.149999999</v>
      </c>
      <c r="D17" s="54">
        <v>41994022.149999999</v>
      </c>
      <c r="E17" s="65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Access'!L6+'Despesa - Access Emag'!L6</f>
        <v>86091.3</v>
      </c>
    </row>
    <row r="23" spans="1:5" x14ac:dyDescent="0.2">
      <c r="A23" s="2" t="s">
        <v>41</v>
      </c>
      <c r="B23" s="2" t="s">
        <v>4</v>
      </c>
      <c r="C23" s="10">
        <f>'Despesa - Access'!L7+'Despesa - Access Emag'!L7</f>
        <v>1634237.95</v>
      </c>
    </row>
    <row r="24" spans="1:5" x14ac:dyDescent="0.2">
      <c r="A24" s="2" t="s">
        <v>42</v>
      </c>
      <c r="B24" s="2" t="s">
        <v>5</v>
      </c>
      <c r="C24" s="10">
        <f>'Despesa - Access'!L8+'Despesa - Access Emag'!L8</f>
        <v>187332</v>
      </c>
    </row>
    <row r="25" spans="1:5" x14ac:dyDescent="0.2">
      <c r="A25" s="2" t="s">
        <v>43</v>
      </c>
      <c r="B25" s="2" t="s">
        <v>6</v>
      </c>
      <c r="C25" s="10">
        <f>'Despesa - Access'!L9+'Despesa - Access Emag'!L9</f>
        <v>914380.6</v>
      </c>
    </row>
    <row r="26" spans="1:5" x14ac:dyDescent="0.2">
      <c r="A26" s="2" t="s">
        <v>45</v>
      </c>
      <c r="B26" s="2" t="s">
        <v>7</v>
      </c>
      <c r="C26" s="10">
        <f>'Despesa - Access'!L10+'Despesa - Access Emag'!L10</f>
        <v>88142.64</v>
      </c>
    </row>
    <row r="27" spans="1:5" x14ac:dyDescent="0.2">
      <c r="A27" s="2" t="s">
        <v>46</v>
      </c>
      <c r="B27" s="2" t="s">
        <v>68</v>
      </c>
      <c r="C27" s="10">
        <f>'Despesa - Access'!L11+'Despesa - Access Emag'!L11</f>
        <v>26614.11</v>
      </c>
    </row>
    <row r="28" spans="1:5" x14ac:dyDescent="0.2">
      <c r="A28" s="2" t="s">
        <v>47</v>
      </c>
      <c r="B28" s="2" t="s">
        <v>8</v>
      </c>
      <c r="C28" s="10">
        <f>'Despesa - Access'!L12+'Despesa - Access Emag'!L12</f>
        <v>205404.63</v>
      </c>
    </row>
    <row r="29" spans="1:5" x14ac:dyDescent="0.2">
      <c r="A29" s="2" t="s">
        <v>48</v>
      </c>
      <c r="B29" s="2" t="s">
        <v>9</v>
      </c>
      <c r="C29" s="10">
        <f>'Despesa - Access'!L13+'Despesa - Access Emag'!L13</f>
        <v>337418</v>
      </c>
    </row>
    <row r="30" spans="1:5" x14ac:dyDescent="0.2">
      <c r="A30" s="2" t="s">
        <v>49</v>
      </c>
      <c r="B30" s="2" t="s">
        <v>10</v>
      </c>
      <c r="C30" s="10">
        <f>'Despesa - Access'!L14+'Despesa - Access Emag'!L14</f>
        <v>83995.98</v>
      </c>
    </row>
    <row r="31" spans="1:5" x14ac:dyDescent="0.2">
      <c r="A31" s="2" t="s">
        <v>50</v>
      </c>
      <c r="B31" s="2" t="s">
        <v>11</v>
      </c>
      <c r="C31" s="10">
        <f>'Despesa - Access'!L15+'Despesa - Access Emag'!L15</f>
        <v>280657.33</v>
      </c>
    </row>
    <row r="32" spans="1:5" x14ac:dyDescent="0.2">
      <c r="A32" s="2" t="s">
        <v>51</v>
      </c>
      <c r="B32" s="2" t="s">
        <v>12</v>
      </c>
      <c r="C32" s="10">
        <f>'Despesa - Access'!L16+'Despesa - Access Emag'!L16</f>
        <v>31589.79</v>
      </c>
    </row>
    <row r="33" spans="1:5" x14ac:dyDescent="0.2">
      <c r="A33" s="2" t="s">
        <v>52</v>
      </c>
      <c r="B33" s="2" t="s">
        <v>13</v>
      </c>
      <c r="C33" s="10">
        <f>'Despesa - Access'!L17+'Despesa - Access Emag'!L17</f>
        <v>244607.17</v>
      </c>
    </row>
    <row r="34" spans="1:5" ht="63.75" x14ac:dyDescent="0.2">
      <c r="A34" s="6" t="s">
        <v>53</v>
      </c>
      <c r="B34" s="7" t="s">
        <v>246</v>
      </c>
      <c r="C34" s="10">
        <f>'Despesa - Access'!L18+'Despesa - Access Emag'!L18</f>
        <v>445759.06</v>
      </c>
    </row>
    <row r="35" spans="1:5" x14ac:dyDescent="0.2">
      <c r="A35" s="2" t="s">
        <v>54</v>
      </c>
      <c r="B35" s="2" t="s">
        <v>14</v>
      </c>
      <c r="C35" s="10">
        <f>'Despesa - Access'!L19+'Despesa - Access Emag'!L19</f>
        <v>433284.98</v>
      </c>
    </row>
    <row r="36" spans="1:5" x14ac:dyDescent="0.2">
      <c r="A36" s="2" t="s">
        <v>55</v>
      </c>
      <c r="B36" s="2" t="s">
        <v>236</v>
      </c>
      <c r="C36" s="10">
        <f>'Despesa - Access'!L20+'Despesa - Access Emag'!L20</f>
        <v>192640.47</v>
      </c>
    </row>
    <row r="37" spans="1:5" x14ac:dyDescent="0.2">
      <c r="A37" s="2" t="s">
        <v>56</v>
      </c>
      <c r="B37" s="2" t="s">
        <v>15</v>
      </c>
      <c r="C37" s="10">
        <f>'Despesa - Access'!L21+'Despesa - Access Emag'!L21</f>
        <v>4785.3599999999997</v>
      </c>
    </row>
    <row r="38" spans="1:5" ht="25.5" x14ac:dyDescent="0.2">
      <c r="A38" s="6" t="s">
        <v>57</v>
      </c>
      <c r="B38" s="62" t="s">
        <v>69</v>
      </c>
      <c r="C38" s="10">
        <f>'Despesa - Access'!L22+'Despesa - Access Emag'!L22</f>
        <v>878774.64</v>
      </c>
    </row>
    <row r="39" spans="1:5" x14ac:dyDescent="0.2">
      <c r="A39" s="2" t="s">
        <v>58</v>
      </c>
      <c r="B39" s="2" t="s">
        <v>16</v>
      </c>
      <c r="C39" s="10">
        <f>'Despesa - Access'!L23+'Despesa - Access Emag'!L23</f>
        <v>29743.3</v>
      </c>
    </row>
    <row r="40" spans="1:5" x14ac:dyDescent="0.2">
      <c r="A40" s="2" t="s">
        <v>59</v>
      </c>
      <c r="B40" s="2" t="s">
        <v>17</v>
      </c>
      <c r="C40" s="10">
        <f>'Despesa - Access'!L24+'Despesa - Access Emag'!L24</f>
        <v>1423.78</v>
      </c>
    </row>
    <row r="41" spans="1:5" x14ac:dyDescent="0.2">
      <c r="A41" s="2" t="s">
        <v>60</v>
      </c>
      <c r="B41" s="2" t="s">
        <v>18</v>
      </c>
      <c r="C41" s="10">
        <f>'Despesa - Access'!L25+'Despesa - Access Emag'!L25</f>
        <v>8217</v>
      </c>
    </row>
    <row r="42" spans="1:5" x14ac:dyDescent="0.2">
      <c r="A42" s="2" t="s">
        <v>61</v>
      </c>
      <c r="B42" s="2" t="s">
        <v>19</v>
      </c>
      <c r="C42" s="10">
        <f>'Despesa - Access'!L26+'Despesa - Access Emag'!L26</f>
        <v>0</v>
      </c>
    </row>
    <row r="43" spans="1:5" x14ac:dyDescent="0.2">
      <c r="A43" s="2" t="s">
        <v>62</v>
      </c>
      <c r="B43" s="2" t="s">
        <v>20</v>
      </c>
      <c r="C43" s="10">
        <f>'Despesa - Access'!L27+'Despesa - Access Emag'!L27</f>
        <v>10659.8</v>
      </c>
    </row>
    <row r="44" spans="1:5" x14ac:dyDescent="0.2">
      <c r="A44" s="2" t="s">
        <v>63</v>
      </c>
      <c r="B44" s="2" t="s">
        <v>21</v>
      </c>
      <c r="C44" s="10">
        <f>'Despesa - Access'!L28+'Despesa - Access Emag'!L28</f>
        <v>27758</v>
      </c>
    </row>
    <row r="45" spans="1:5" x14ac:dyDescent="0.2">
      <c r="A45" s="2" t="s">
        <v>64</v>
      </c>
      <c r="B45" s="2" t="s">
        <v>70</v>
      </c>
      <c r="C45" s="10">
        <f>'Despesa - Access'!L29+'Despesa - Access Emag'!L29</f>
        <v>7288.67</v>
      </c>
    </row>
    <row r="46" spans="1:5" x14ac:dyDescent="0.2">
      <c r="A46" s="2" t="s">
        <v>65</v>
      </c>
      <c r="B46" s="2" t="s">
        <v>22</v>
      </c>
      <c r="C46" s="10">
        <f>'Despesa - Access'!L30+'Despesa - Access Emag'!L30</f>
        <v>0</v>
      </c>
    </row>
    <row r="47" spans="1:5" x14ac:dyDescent="0.2">
      <c r="A47" s="2" t="s">
        <v>66</v>
      </c>
      <c r="B47" s="2" t="s">
        <v>23</v>
      </c>
      <c r="C47" s="10">
        <f>'Despesa - Access'!L31+'Despesa - Access Emag'!L31</f>
        <v>1070834</v>
      </c>
    </row>
    <row r="48" spans="1:5" x14ac:dyDescent="0.2">
      <c r="A48" s="103" t="s">
        <v>71</v>
      </c>
      <c r="B48" s="103"/>
      <c r="C48" s="10">
        <f>SUM(C22:C47)</f>
        <v>7231640.5599999987</v>
      </c>
      <c r="D48" s="54">
        <f>7222890.56+8750</f>
        <v>7231640.5599999996</v>
      </c>
      <c r="E48" s="8">
        <f>C48-D48</f>
        <v>0</v>
      </c>
    </row>
    <row r="49" spans="1:5" x14ac:dyDescent="0.2">
      <c r="D49" s="54" t="s">
        <v>364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Access'!L32+'Despesa - Access Emag'!L32</f>
        <v>0</v>
      </c>
    </row>
    <row r="54" spans="1:5" x14ac:dyDescent="0.2">
      <c r="A54" s="2" t="s">
        <v>41</v>
      </c>
      <c r="B54" s="2" t="s">
        <v>26</v>
      </c>
      <c r="C54" s="10">
        <f>'Despesa - Access'!L33+'Despesa - Access Emag'!L33</f>
        <v>0</v>
      </c>
    </row>
    <row r="55" spans="1:5" x14ac:dyDescent="0.2">
      <c r="A55" s="2" t="s">
        <v>42</v>
      </c>
      <c r="B55" s="2" t="s">
        <v>67</v>
      </c>
      <c r="C55" s="10">
        <f>'Despesa - Access'!L34+'Despesa - Access Emag'!L34</f>
        <v>0</v>
      </c>
    </row>
    <row r="56" spans="1:5" x14ac:dyDescent="0.2">
      <c r="A56" s="2" t="s">
        <v>43</v>
      </c>
      <c r="B56" s="2" t="s">
        <v>27</v>
      </c>
      <c r="C56" s="10">
        <f>'Despesa - Access'!L35+'Despesa - Access Emag'!L35</f>
        <v>0</v>
      </c>
    </row>
    <row r="57" spans="1:5" x14ac:dyDescent="0.2">
      <c r="A57" s="2" t="s">
        <v>45</v>
      </c>
      <c r="B57" s="2" t="s">
        <v>28</v>
      </c>
      <c r="C57" s="10">
        <f>'Despesa - Access'!L36+'Despesa - Access Emag'!L36</f>
        <v>9010.91</v>
      </c>
    </row>
    <row r="58" spans="1:5" x14ac:dyDescent="0.2">
      <c r="A58" s="103" t="s">
        <v>71</v>
      </c>
      <c r="B58" s="103"/>
      <c r="C58" s="10">
        <f>SUM(C53:C57)</f>
        <v>9010.91</v>
      </c>
      <c r="D58" s="54">
        <v>9010.91</v>
      </c>
      <c r="E58" s="97">
        <f>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244</v>
      </c>
    </row>
    <row r="63" spans="1:5" x14ac:dyDescent="0.2">
      <c r="A63" s="2" t="s">
        <v>40</v>
      </c>
      <c r="B63" s="2" t="s">
        <v>30</v>
      </c>
      <c r="C63" s="10">
        <f>'Despesa - Access'!L37+'Despesa - Access Emag'!L37</f>
        <v>0</v>
      </c>
    </row>
    <row r="64" spans="1:5" x14ac:dyDescent="0.2">
      <c r="A64" s="2" t="s">
        <v>41</v>
      </c>
      <c r="B64" s="2" t="s">
        <v>31</v>
      </c>
      <c r="C64" s="10">
        <f>'Despesa - Access'!L38+'Despesa - Access Emag'!L38</f>
        <v>0</v>
      </c>
    </row>
    <row r="65" spans="1:3" x14ac:dyDescent="0.2">
      <c r="A65" s="103" t="s">
        <v>71</v>
      </c>
      <c r="B65" s="103"/>
      <c r="C65" s="10">
        <f>SUM(C63:C64)</f>
        <v>0</v>
      </c>
    </row>
    <row r="67" spans="1:3" x14ac:dyDescent="0.2">
      <c r="A67" s="4" t="s">
        <v>74</v>
      </c>
    </row>
    <row r="69" spans="1:3" x14ac:dyDescent="0.2">
      <c r="A69" s="3" t="s">
        <v>38</v>
      </c>
      <c r="B69" s="3" t="s">
        <v>39</v>
      </c>
      <c r="C69" s="11" t="s">
        <v>244</v>
      </c>
    </row>
    <row r="70" spans="1:3" x14ac:dyDescent="0.2">
      <c r="A70" s="2" t="s">
        <v>40</v>
      </c>
      <c r="B70" s="2" t="s">
        <v>75</v>
      </c>
      <c r="C70" s="9">
        <f>'Financeiro - Access'!L2+'Financeiro - Access Emag'!L2</f>
        <v>41940936.560000002</v>
      </c>
    </row>
    <row r="71" spans="1:3" x14ac:dyDescent="0.2">
      <c r="A71" s="2" t="s">
        <v>41</v>
      </c>
      <c r="B71" s="2" t="s">
        <v>76</v>
      </c>
      <c r="C71" s="9">
        <f>'Financeiro - Access'!L3+'Financeiro - Access Emag'!L3</f>
        <v>5598518.4000000004</v>
      </c>
    </row>
    <row r="72" spans="1:3" x14ac:dyDescent="0.2">
      <c r="A72" s="2" t="s">
        <v>42</v>
      </c>
      <c r="B72" s="2" t="s">
        <v>215</v>
      </c>
      <c r="C72" s="9">
        <f>'Financeiro - Access'!L4+'Financeiro - Access Emag'!L4</f>
        <v>30000</v>
      </c>
    </row>
    <row r="73" spans="1:3" x14ac:dyDescent="0.2">
      <c r="A73" s="2" t="s">
        <v>43</v>
      </c>
      <c r="B73" s="2" t="s">
        <v>238</v>
      </c>
      <c r="C73" s="9">
        <f>'Financeiro - Access'!L5+'Financeiro - Access Emag'!L5</f>
        <v>0</v>
      </c>
    </row>
    <row r="74" spans="1:3" x14ac:dyDescent="0.2">
      <c r="A74" s="103" t="s">
        <v>71</v>
      </c>
      <c r="B74" s="103"/>
      <c r="C74" s="10">
        <f>SUM(C70:C73)</f>
        <v>47569454.960000001</v>
      </c>
    </row>
    <row r="76" spans="1:3" x14ac:dyDescent="0.2">
      <c r="A76" s="4" t="s">
        <v>220</v>
      </c>
    </row>
    <row r="78" spans="1:3" x14ac:dyDescent="0.2">
      <c r="A78" s="3" t="s">
        <v>38</v>
      </c>
      <c r="B78" s="3" t="s">
        <v>39</v>
      </c>
      <c r="C78" s="11" t="s">
        <v>244</v>
      </c>
    </row>
    <row r="79" spans="1:3" x14ac:dyDescent="0.2">
      <c r="A79" s="2" t="s">
        <v>40</v>
      </c>
      <c r="B79" s="2" t="s">
        <v>239</v>
      </c>
      <c r="C79" s="9"/>
    </row>
    <row r="80" spans="1:3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9" t="s">
        <v>293</v>
      </c>
      <c r="B84" s="119"/>
      <c r="C84" s="119"/>
    </row>
    <row r="85" spans="1:5" x14ac:dyDescent="0.2">
      <c r="A85" s="119" t="s">
        <v>382</v>
      </c>
      <c r="B85" s="119"/>
      <c r="C85" s="119"/>
      <c r="E85" s="54"/>
    </row>
    <row r="86" spans="1:5" x14ac:dyDescent="0.2">
      <c r="A86" s="115"/>
      <c r="B86" s="115"/>
      <c r="C86" s="115"/>
    </row>
    <row r="87" spans="1:5" x14ac:dyDescent="0.2">
      <c r="A87" s="109"/>
      <c r="B87" s="109"/>
      <c r="C87" s="109"/>
      <c r="D87" s="109"/>
      <c r="E87" s="109"/>
    </row>
    <row r="88" spans="1:5" x14ac:dyDescent="0.2">
      <c r="A88" s="109" t="s">
        <v>99</v>
      </c>
      <c r="B88" s="109"/>
      <c r="C88" s="109"/>
      <c r="D88" s="109"/>
      <c r="E88" s="109"/>
    </row>
    <row r="89" spans="1:5" x14ac:dyDescent="0.2">
      <c r="A89" s="70"/>
      <c r="B89" s="70"/>
      <c r="C89" s="70"/>
    </row>
    <row r="90" spans="1:5" x14ac:dyDescent="0.2">
      <c r="C90" s="11" t="s">
        <v>107</v>
      </c>
      <c r="D90" s="71" t="s">
        <v>106</v>
      </c>
      <c r="E90" s="3" t="s">
        <v>71</v>
      </c>
    </row>
    <row r="91" spans="1:5" x14ac:dyDescent="0.2">
      <c r="A91" s="112"/>
      <c r="B91" s="111"/>
      <c r="C91" s="9">
        <v>0</v>
      </c>
      <c r="D91" s="45">
        <f>'Anexo I - Mai'!C91</f>
        <v>0</v>
      </c>
      <c r="E91" s="9">
        <f>C91-D91</f>
        <v>0</v>
      </c>
    </row>
    <row r="92" spans="1:5" x14ac:dyDescent="0.2">
      <c r="A92" s="112" t="s">
        <v>343</v>
      </c>
      <c r="B92" s="111"/>
      <c r="C92" s="9">
        <v>399860477.14999998</v>
      </c>
      <c r="D92" s="45">
        <f>'Anexo I - Jul'!C92</f>
        <v>350634553.52999997</v>
      </c>
      <c r="E92" s="9">
        <f>C92-D92</f>
        <v>49225923.620000005</v>
      </c>
    </row>
    <row r="93" spans="1:5" x14ac:dyDescent="0.2">
      <c r="A93" s="112" t="s">
        <v>344</v>
      </c>
      <c r="B93" s="111"/>
      <c r="C93" s="9">
        <v>84212.9</v>
      </c>
      <c r="D93" s="45">
        <f>'Anexo I - Jul'!C93</f>
        <v>75462.899999999994</v>
      </c>
      <c r="E93" s="9">
        <f>C93-D93</f>
        <v>8750</v>
      </c>
    </row>
    <row r="94" spans="1:5" x14ac:dyDescent="0.2">
      <c r="A94" s="112" t="s">
        <v>97</v>
      </c>
      <c r="B94" s="120"/>
      <c r="C94" s="120"/>
      <c r="D94" s="111"/>
      <c r="E94" s="27">
        <f>SUM(E91:E93)</f>
        <v>49234673.620000005</v>
      </c>
    </row>
    <row r="95" spans="1:5" x14ac:dyDescent="0.2">
      <c r="A95" s="112" t="s">
        <v>98</v>
      </c>
      <c r="B95" s="120"/>
      <c r="C95" s="120"/>
      <c r="D95" s="111"/>
      <c r="E95" s="27">
        <f>C17+C48+C58+C65</f>
        <v>49234673.61999999</v>
      </c>
    </row>
    <row r="97" spans="4:6" x14ac:dyDescent="0.2">
      <c r="D97" s="72" t="s">
        <v>337</v>
      </c>
      <c r="E97" s="56">
        <f>41994022.15+7222890.56+9010.91+8750</f>
        <v>49234673.619999997</v>
      </c>
    </row>
    <row r="98" spans="4:6" x14ac:dyDescent="0.2">
      <c r="E98" s="57" t="str">
        <f>IF(E95=E97,"Despesa Ok","Diferença")</f>
        <v>Despesa Ok</v>
      </c>
      <c r="F98" s="8"/>
    </row>
    <row r="99" spans="4:6" x14ac:dyDescent="0.2">
      <c r="E99" s="8">
        <f>E95-E97</f>
        <v>0</v>
      </c>
      <c r="F99" s="60" t="s">
        <v>338</v>
      </c>
    </row>
    <row r="100" spans="4:6" x14ac:dyDescent="0.2">
      <c r="E100" s="54"/>
    </row>
    <row r="101" spans="4:6" x14ac:dyDescent="0.2">
      <c r="E101" s="54" t="s">
        <v>249</v>
      </c>
    </row>
  </sheetData>
  <mergeCells count="23">
    <mergeCell ref="A95:D95"/>
    <mergeCell ref="A83:B83"/>
    <mergeCell ref="A48:B48"/>
    <mergeCell ref="A58:B58"/>
    <mergeCell ref="A65:B65"/>
    <mergeCell ref="A74:B74"/>
    <mergeCell ref="A85:C85"/>
    <mergeCell ref="A94:D94"/>
    <mergeCell ref="A87:E87"/>
    <mergeCell ref="A91:B91"/>
    <mergeCell ref="A92:B92"/>
    <mergeCell ref="A88:E88"/>
    <mergeCell ref="A93:B93"/>
    <mergeCell ref="A86:C86"/>
    <mergeCell ref="A84:C84"/>
    <mergeCell ref="B6:C6"/>
    <mergeCell ref="B7:C7"/>
    <mergeCell ref="B8:C8"/>
    <mergeCell ref="A17:B17"/>
    <mergeCell ref="A1:C1"/>
    <mergeCell ref="B3:C3"/>
    <mergeCell ref="B4:C4"/>
    <mergeCell ref="B5:C5"/>
  </mergeCells>
  <phoneticPr fontId="0" type="noConversion"/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showGridLines="0" view="pageBreakPreview" topLeftCell="A70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8" customWidth="1"/>
    <col min="4" max="5" width="15.7109375" style="59" customWidth="1"/>
    <col min="6" max="6" width="13.85546875" bestFit="1" customWidth="1"/>
  </cols>
  <sheetData>
    <row r="1" spans="1:3" x14ac:dyDescent="0.2">
      <c r="A1" s="108" t="s">
        <v>223</v>
      </c>
      <c r="B1" s="108"/>
      <c r="C1" s="108"/>
    </row>
    <row r="3" spans="1:3" x14ac:dyDescent="0.2">
      <c r="A3" s="2" t="s">
        <v>32</v>
      </c>
      <c r="B3" s="107" t="s">
        <v>227</v>
      </c>
      <c r="C3" s="107"/>
    </row>
    <row r="4" spans="1:3" x14ac:dyDescent="0.2">
      <c r="A4" s="2" t="s">
        <v>33</v>
      </c>
      <c r="B4" s="107" t="s">
        <v>221</v>
      </c>
      <c r="C4" s="107"/>
    </row>
    <row r="5" spans="1:3" x14ac:dyDescent="0.2">
      <c r="A5" s="2" t="s">
        <v>34</v>
      </c>
      <c r="B5" s="107" t="s">
        <v>347</v>
      </c>
      <c r="C5" s="107"/>
    </row>
    <row r="6" spans="1:3" x14ac:dyDescent="0.2">
      <c r="A6" s="2" t="s">
        <v>35</v>
      </c>
      <c r="B6" s="107" t="s">
        <v>222</v>
      </c>
      <c r="C6" s="107"/>
    </row>
    <row r="7" spans="1:3" x14ac:dyDescent="0.2">
      <c r="A7" s="2" t="s">
        <v>36</v>
      </c>
      <c r="B7" s="105" t="s">
        <v>367</v>
      </c>
      <c r="C7" s="105"/>
    </row>
    <row r="8" spans="1:3" x14ac:dyDescent="0.2">
      <c r="A8" s="2" t="s">
        <v>37</v>
      </c>
      <c r="B8" s="106">
        <v>43027</v>
      </c>
      <c r="C8" s="107"/>
    </row>
    <row r="10" spans="1:3" x14ac:dyDescent="0.2">
      <c r="A10" s="4" t="s">
        <v>225</v>
      </c>
    </row>
    <row r="12" spans="1:3" x14ac:dyDescent="0.2">
      <c r="A12" s="3" t="s">
        <v>38</v>
      </c>
      <c r="B12" s="3" t="s">
        <v>39</v>
      </c>
      <c r="C12" s="11" t="s">
        <v>243</v>
      </c>
    </row>
    <row r="13" spans="1:3" x14ac:dyDescent="0.2">
      <c r="A13" s="2" t="s">
        <v>40</v>
      </c>
      <c r="B13" s="5" t="s">
        <v>1</v>
      </c>
      <c r="C13" s="10">
        <f>'Despesa - Access'!M2+'Despesa - Access Emag'!M2</f>
        <v>28921794.559999999</v>
      </c>
    </row>
    <row r="14" spans="1:3" x14ac:dyDescent="0.2">
      <c r="A14" s="2" t="s">
        <v>41</v>
      </c>
      <c r="B14" s="5" t="s">
        <v>2</v>
      </c>
      <c r="C14" s="10">
        <f>'Despesa - Access'!M3+'Despesa - Access Emag'!M3</f>
        <v>8032036.8600000003</v>
      </c>
    </row>
    <row r="15" spans="1:3" x14ac:dyDescent="0.2">
      <c r="A15" s="2" t="s">
        <v>42</v>
      </c>
      <c r="B15" s="5" t="s">
        <v>234</v>
      </c>
      <c r="C15" s="10">
        <f>'Despesa - Access'!M4+'Despesa - Access Emag'!M4</f>
        <v>5192988.5</v>
      </c>
    </row>
    <row r="16" spans="1:3" ht="51" x14ac:dyDescent="0.2">
      <c r="A16" s="6" t="s">
        <v>43</v>
      </c>
      <c r="B16" s="5" t="s">
        <v>242</v>
      </c>
      <c r="C16" s="10">
        <v>0</v>
      </c>
    </row>
    <row r="17" spans="1:5" x14ac:dyDescent="0.2">
      <c r="A17" s="103" t="s">
        <v>71</v>
      </c>
      <c r="B17" s="103"/>
      <c r="C17" s="10">
        <f>SUM(C13:C16)</f>
        <v>42146819.920000002</v>
      </c>
      <c r="D17" s="59">
        <v>42146819.920000002</v>
      </c>
      <c r="E17" s="59">
        <f>C17-D17</f>
        <v>0</v>
      </c>
    </row>
    <row r="19" spans="1:5" x14ac:dyDescent="0.2">
      <c r="A19" s="4" t="s">
        <v>72</v>
      </c>
    </row>
    <row r="21" spans="1:5" x14ac:dyDescent="0.2">
      <c r="A21" s="3" t="s">
        <v>38</v>
      </c>
      <c r="B21" s="3" t="s">
        <v>39</v>
      </c>
      <c r="C21" s="11" t="s">
        <v>244</v>
      </c>
    </row>
    <row r="22" spans="1:5" x14ac:dyDescent="0.2">
      <c r="A22" s="2" t="s">
        <v>40</v>
      </c>
      <c r="B22" s="2" t="s">
        <v>3</v>
      </c>
      <c r="C22" s="10">
        <f>'Despesa - Access'!M6+'Despesa - Access Emag'!M6</f>
        <v>101191.67999999999</v>
      </c>
    </row>
    <row r="23" spans="1:5" x14ac:dyDescent="0.2">
      <c r="A23" s="2" t="s">
        <v>41</v>
      </c>
      <c r="B23" s="2" t="s">
        <v>4</v>
      </c>
      <c r="C23" s="10">
        <f>'Despesa - Access'!M7+'Despesa - Access Emag'!M7</f>
        <v>1597669.45</v>
      </c>
    </row>
    <row r="24" spans="1:5" x14ac:dyDescent="0.2">
      <c r="A24" s="2" t="s">
        <v>42</v>
      </c>
      <c r="B24" s="2" t="s">
        <v>5</v>
      </c>
      <c r="C24" s="10">
        <f>'Despesa - Access'!M8+'Despesa - Access Emag'!M8</f>
        <v>186633</v>
      </c>
    </row>
    <row r="25" spans="1:5" x14ac:dyDescent="0.2">
      <c r="A25" s="2" t="s">
        <v>43</v>
      </c>
      <c r="B25" s="2" t="s">
        <v>6</v>
      </c>
      <c r="C25" s="10">
        <f>'Despesa - Access'!M9+'Despesa - Access Emag'!M9</f>
        <v>1122593.81</v>
      </c>
    </row>
    <row r="26" spans="1:5" x14ac:dyDescent="0.2">
      <c r="A26" s="2" t="s">
        <v>45</v>
      </c>
      <c r="B26" s="2" t="s">
        <v>7</v>
      </c>
      <c r="C26" s="10">
        <f>'Despesa - Access'!M10+'Despesa - Access Emag'!M10</f>
        <v>140351.47</v>
      </c>
    </row>
    <row r="27" spans="1:5" x14ac:dyDescent="0.2">
      <c r="A27" s="2" t="s">
        <v>46</v>
      </c>
      <c r="B27" s="2" t="s">
        <v>68</v>
      </c>
      <c r="C27" s="10">
        <f>'Despesa - Access'!M11+'Despesa - Access Emag'!M11</f>
        <v>46445.41</v>
      </c>
    </row>
    <row r="28" spans="1:5" x14ac:dyDescent="0.2">
      <c r="A28" s="2" t="s">
        <v>47</v>
      </c>
      <c r="B28" s="2" t="s">
        <v>8</v>
      </c>
      <c r="C28" s="10">
        <f>'Despesa - Access'!M12+'Despesa - Access Emag'!M12</f>
        <v>205256.62</v>
      </c>
    </row>
    <row r="29" spans="1:5" x14ac:dyDescent="0.2">
      <c r="A29" s="2" t="s">
        <v>48</v>
      </c>
      <c r="B29" s="2" t="s">
        <v>9</v>
      </c>
      <c r="C29" s="10">
        <f>'Despesa - Access'!M13+'Despesa - Access Emag'!M13</f>
        <v>337418</v>
      </c>
    </row>
    <row r="30" spans="1:5" x14ac:dyDescent="0.2">
      <c r="A30" s="2" t="s">
        <v>49</v>
      </c>
      <c r="B30" s="2" t="s">
        <v>10</v>
      </c>
      <c r="C30" s="10">
        <f>'Despesa - Access'!M14+'Despesa - Access Emag'!M14</f>
        <v>82354.740000000005</v>
      </c>
    </row>
    <row r="31" spans="1:5" x14ac:dyDescent="0.2">
      <c r="A31" s="2" t="s">
        <v>50</v>
      </c>
      <c r="B31" s="2" t="s">
        <v>11</v>
      </c>
      <c r="C31" s="10">
        <f>'Despesa - Access'!M15+'Despesa - Access Emag'!M15</f>
        <v>310979.62</v>
      </c>
    </row>
    <row r="32" spans="1:5" x14ac:dyDescent="0.2">
      <c r="A32" s="2" t="s">
        <v>51</v>
      </c>
      <c r="B32" s="2" t="s">
        <v>12</v>
      </c>
      <c r="C32" s="10">
        <f>'Despesa - Access'!M16+'Despesa - Access Emag'!M16</f>
        <v>10734.2</v>
      </c>
    </row>
    <row r="33" spans="1:5" x14ac:dyDescent="0.2">
      <c r="A33" s="2" t="s">
        <v>52</v>
      </c>
      <c r="B33" s="2" t="s">
        <v>13</v>
      </c>
      <c r="C33" s="10">
        <f>'Despesa - Access'!M17+'Despesa - Access Emag'!M17</f>
        <v>167787.51</v>
      </c>
    </row>
    <row r="34" spans="1:5" ht="63.75" x14ac:dyDescent="0.2">
      <c r="A34" s="6" t="s">
        <v>53</v>
      </c>
      <c r="B34" s="7" t="s">
        <v>246</v>
      </c>
      <c r="C34" s="10">
        <f>'Despesa - Access'!M18+'Despesa - Access Emag'!M18</f>
        <v>286640.2</v>
      </c>
    </row>
    <row r="35" spans="1:5" x14ac:dyDescent="0.2">
      <c r="A35" s="2" t="s">
        <v>54</v>
      </c>
      <c r="B35" s="2" t="s">
        <v>14</v>
      </c>
      <c r="C35" s="10">
        <f>'Despesa - Access'!M19+'Despesa - Access Emag'!M19</f>
        <v>427973.02</v>
      </c>
    </row>
    <row r="36" spans="1:5" x14ac:dyDescent="0.2">
      <c r="A36" s="2" t="s">
        <v>55</v>
      </c>
      <c r="B36" s="2" t="s">
        <v>236</v>
      </c>
      <c r="C36" s="10">
        <f>'Despesa - Access'!M20+'Despesa - Access Emag'!M20</f>
        <v>194914.44</v>
      </c>
    </row>
    <row r="37" spans="1:5" x14ac:dyDescent="0.2">
      <c r="A37" s="2" t="s">
        <v>56</v>
      </c>
      <c r="B37" s="2" t="s">
        <v>15</v>
      </c>
      <c r="C37" s="10">
        <f>'Despesa - Access'!M21+'Despesa - Access Emag'!M21</f>
        <v>3898.52</v>
      </c>
    </row>
    <row r="38" spans="1:5" ht="25.5" x14ac:dyDescent="0.2">
      <c r="A38" s="6" t="s">
        <v>57</v>
      </c>
      <c r="B38" s="26" t="s">
        <v>69</v>
      </c>
      <c r="C38" s="10">
        <f>'Despesa - Access'!M22+'Despesa - Access Emag'!M22</f>
        <v>689321.75</v>
      </c>
    </row>
    <row r="39" spans="1:5" x14ac:dyDescent="0.2">
      <c r="A39" s="2" t="s">
        <v>58</v>
      </c>
      <c r="B39" s="2" t="s">
        <v>16</v>
      </c>
      <c r="C39" s="10">
        <f>'Despesa - Access'!M23+'Despesa - Access Emag'!M23</f>
        <v>257694.01</v>
      </c>
    </row>
    <row r="40" spans="1:5" x14ac:dyDescent="0.2">
      <c r="A40" s="2" t="s">
        <v>59</v>
      </c>
      <c r="B40" s="2" t="s">
        <v>17</v>
      </c>
      <c r="C40" s="10">
        <f>'Despesa - Access'!M24+'Despesa - Access Emag'!M24</f>
        <v>0</v>
      </c>
    </row>
    <row r="41" spans="1:5" x14ac:dyDescent="0.2">
      <c r="A41" s="2" t="s">
        <v>60</v>
      </c>
      <c r="B41" s="2" t="s">
        <v>18</v>
      </c>
      <c r="C41" s="10">
        <f>'Despesa - Access'!M25+'Despesa - Access Emag'!M25</f>
        <v>1556</v>
      </c>
    </row>
    <row r="42" spans="1:5" x14ac:dyDescent="0.2">
      <c r="A42" s="2" t="s">
        <v>61</v>
      </c>
      <c r="B42" s="2" t="s">
        <v>19</v>
      </c>
      <c r="C42" s="10">
        <f>'Despesa - Access'!M26+'Despesa - Access Emag'!M26</f>
        <v>3234</v>
      </c>
    </row>
    <row r="43" spans="1:5" x14ac:dyDescent="0.2">
      <c r="A43" s="2" t="s">
        <v>62</v>
      </c>
      <c r="B43" s="2" t="s">
        <v>20</v>
      </c>
      <c r="C43" s="10">
        <f>'Despesa - Access'!M27+'Despesa - Access Emag'!M27</f>
        <v>14290.29</v>
      </c>
    </row>
    <row r="44" spans="1:5" x14ac:dyDescent="0.2">
      <c r="A44" s="2" t="s">
        <v>63</v>
      </c>
      <c r="B44" s="2" t="s">
        <v>21</v>
      </c>
      <c r="C44" s="10">
        <f>'Despesa - Access'!M28+'Despesa - Access Emag'!M28</f>
        <v>27394.400000000001</v>
      </c>
    </row>
    <row r="45" spans="1:5" x14ac:dyDescent="0.2">
      <c r="A45" s="2" t="s">
        <v>64</v>
      </c>
      <c r="B45" s="2" t="s">
        <v>70</v>
      </c>
      <c r="C45" s="10">
        <f>'Despesa - Access'!M29+'Despesa - Access Emag'!M29</f>
        <v>6746.32</v>
      </c>
    </row>
    <row r="46" spans="1:5" x14ac:dyDescent="0.2">
      <c r="A46" s="2" t="s">
        <v>65</v>
      </c>
      <c r="B46" s="2" t="s">
        <v>22</v>
      </c>
      <c r="C46" s="10">
        <f>'Despesa - Access'!M30+'Despesa - Access Emag'!M30</f>
        <v>0</v>
      </c>
    </row>
    <row r="47" spans="1:5" x14ac:dyDescent="0.2">
      <c r="A47" s="2" t="s">
        <v>66</v>
      </c>
      <c r="B47" s="2" t="s">
        <v>23</v>
      </c>
      <c r="C47" s="10">
        <f>'Despesa - Access'!M31+'Despesa - Access Emag'!M31</f>
        <v>994253.39</v>
      </c>
    </row>
    <row r="48" spans="1:5" x14ac:dyDescent="0.2">
      <c r="A48" s="103" t="s">
        <v>71</v>
      </c>
      <c r="B48" s="103"/>
      <c r="C48" s="10">
        <f>SUM(C22:C47)</f>
        <v>7217331.8500000006</v>
      </c>
      <c r="D48" s="59">
        <f>7211056.58+6275.27</f>
        <v>7217331.8499999996</v>
      </c>
      <c r="E48" s="59">
        <f>+C48-D48</f>
        <v>0</v>
      </c>
    </row>
    <row r="50" spans="1:5" x14ac:dyDescent="0.2">
      <c r="A50" s="4" t="s">
        <v>226</v>
      </c>
    </row>
    <row r="52" spans="1:5" x14ac:dyDescent="0.2">
      <c r="A52" s="3" t="s">
        <v>38</v>
      </c>
      <c r="B52" s="3" t="s">
        <v>39</v>
      </c>
      <c r="C52" s="11" t="s">
        <v>244</v>
      </c>
    </row>
    <row r="53" spans="1:5" x14ac:dyDescent="0.2">
      <c r="A53" s="2" t="s">
        <v>40</v>
      </c>
      <c r="B53" s="2" t="s">
        <v>25</v>
      </c>
      <c r="C53" s="10">
        <f>'Despesa - Access'!M32+'Despesa - Access Emag'!M32</f>
        <v>0</v>
      </c>
    </row>
    <row r="54" spans="1:5" x14ac:dyDescent="0.2">
      <c r="A54" s="2" t="s">
        <v>41</v>
      </c>
      <c r="B54" s="2" t="s">
        <v>26</v>
      </c>
      <c r="C54" s="10">
        <f>'Despesa - Access'!M33+'Despesa - Access Emag'!M33</f>
        <v>0</v>
      </c>
    </row>
    <row r="55" spans="1:5" x14ac:dyDescent="0.2">
      <c r="A55" s="2" t="s">
        <v>42</v>
      </c>
      <c r="B55" s="2" t="s">
        <v>67</v>
      </c>
      <c r="C55" s="10">
        <f>'Despesa - Access'!M34+'Despesa - Access Emag'!M34</f>
        <v>0</v>
      </c>
    </row>
    <row r="56" spans="1:5" x14ac:dyDescent="0.2">
      <c r="A56" s="2" t="s">
        <v>43</v>
      </c>
      <c r="B56" s="2" t="s">
        <v>27</v>
      </c>
      <c r="C56" s="10">
        <f>'Despesa - Access'!M35+'Despesa - Access Emag'!M35</f>
        <v>0</v>
      </c>
    </row>
    <row r="57" spans="1:5" x14ac:dyDescent="0.2">
      <c r="A57" s="2" t="s">
        <v>45</v>
      </c>
      <c r="B57" s="2" t="s">
        <v>28</v>
      </c>
      <c r="C57" s="10">
        <f>'Despesa - Access'!M36+'Despesa - Access Emag'!M36</f>
        <v>15150</v>
      </c>
    </row>
    <row r="58" spans="1:5" x14ac:dyDescent="0.2">
      <c r="A58" s="103" t="s">
        <v>71</v>
      </c>
      <c r="B58" s="103"/>
      <c r="C58" s="10">
        <f>SUM(C53:C57)</f>
        <v>15150</v>
      </c>
      <c r="D58" s="59">
        <v>15150</v>
      </c>
      <c r="E58" s="63">
        <f>+C58-D58</f>
        <v>0</v>
      </c>
    </row>
    <row r="60" spans="1:5" x14ac:dyDescent="0.2">
      <c r="A60" s="4" t="s">
        <v>73</v>
      </c>
    </row>
    <row r="62" spans="1:5" x14ac:dyDescent="0.2">
      <c r="A62" s="3" t="s">
        <v>38</v>
      </c>
      <c r="B62" s="3" t="s">
        <v>39</v>
      </c>
      <c r="C62" s="11" t="s">
        <v>243</v>
      </c>
    </row>
    <row r="63" spans="1:5" x14ac:dyDescent="0.2">
      <c r="A63" s="2" t="s">
        <v>40</v>
      </c>
      <c r="B63" s="2" t="s">
        <v>30</v>
      </c>
      <c r="C63" s="10">
        <f>'Despesa - Access'!M37+'Despesa - Access Emag'!M37</f>
        <v>0</v>
      </c>
    </row>
    <row r="64" spans="1:5" x14ac:dyDescent="0.2">
      <c r="A64" s="2" t="s">
        <v>41</v>
      </c>
      <c r="B64" s="2" t="s">
        <v>31</v>
      </c>
      <c r="C64" s="10">
        <f>'Despesa - Access'!M38+'Despesa - Access Emag'!M38</f>
        <v>0</v>
      </c>
    </row>
    <row r="65" spans="1:5" x14ac:dyDescent="0.2">
      <c r="A65" s="103" t="s">
        <v>71</v>
      </c>
      <c r="B65" s="103"/>
      <c r="C65" s="10">
        <f>SUM(C63:C64)</f>
        <v>0</v>
      </c>
    </row>
    <row r="67" spans="1:5" x14ac:dyDescent="0.2">
      <c r="A67" s="4" t="s">
        <v>74</v>
      </c>
    </row>
    <row r="69" spans="1:5" x14ac:dyDescent="0.2">
      <c r="A69" s="3" t="s">
        <v>38</v>
      </c>
      <c r="B69" s="3" t="s">
        <v>39</v>
      </c>
      <c r="C69" s="11" t="s">
        <v>244</v>
      </c>
    </row>
    <row r="70" spans="1:5" x14ac:dyDescent="0.2">
      <c r="A70" s="2" t="s">
        <v>40</v>
      </c>
      <c r="B70" s="2" t="s">
        <v>75</v>
      </c>
      <c r="C70" s="9">
        <f>'Financeiro - Access'!M2+'Financeiro - Access Emag'!M2</f>
        <v>42152814.68</v>
      </c>
      <c r="D70" s="59">
        <v>42152814.68</v>
      </c>
    </row>
    <row r="71" spans="1:5" x14ac:dyDescent="0.2">
      <c r="A71" s="2" t="s">
        <v>41</v>
      </c>
      <c r="B71" s="2" t="s">
        <v>76</v>
      </c>
      <c r="C71" s="9">
        <f>'Financeiro - Access'!M3+'Financeiro - Access Emag'!M3</f>
        <v>7456616.0499999998</v>
      </c>
      <c r="D71" s="59">
        <v>7497869.8500000006</v>
      </c>
    </row>
    <row r="72" spans="1:5" x14ac:dyDescent="0.2">
      <c r="A72" s="2" t="s">
        <v>42</v>
      </c>
      <c r="B72" s="2" t="s">
        <v>215</v>
      </c>
      <c r="C72" s="9">
        <f>'Financeiro - Access'!M4+'Financeiro - Access Emag'!M4</f>
        <v>274846.92</v>
      </c>
      <c r="D72" s="59">
        <v>274846.92</v>
      </c>
    </row>
    <row r="73" spans="1:5" x14ac:dyDescent="0.2">
      <c r="A73" s="2" t="s">
        <v>43</v>
      </c>
      <c r="B73" s="2" t="s">
        <v>238</v>
      </c>
      <c r="C73" s="9">
        <f>'Financeiro - Access'!M5+'Financeiro - Access Emag'!M5</f>
        <v>0</v>
      </c>
      <c r="D73" s="59">
        <v>0</v>
      </c>
    </row>
    <row r="74" spans="1:5" x14ac:dyDescent="0.2">
      <c r="A74" s="103" t="s">
        <v>71</v>
      </c>
      <c r="B74" s="103"/>
      <c r="C74" s="10">
        <f>SUM(C70:C73)</f>
        <v>49884277.649999999</v>
      </c>
      <c r="D74" s="59">
        <v>49925531.450000003</v>
      </c>
      <c r="E74" s="59">
        <f>+D74-C74</f>
        <v>41253.80000000447</v>
      </c>
    </row>
    <row r="76" spans="1:5" x14ac:dyDescent="0.2">
      <c r="A76" s="4" t="s">
        <v>220</v>
      </c>
    </row>
    <row r="78" spans="1:5" x14ac:dyDescent="0.2">
      <c r="A78" s="3" t="s">
        <v>38</v>
      </c>
      <c r="B78" s="3" t="s">
        <v>39</v>
      </c>
      <c r="C78" s="11" t="s">
        <v>243</v>
      </c>
    </row>
    <row r="79" spans="1:5" x14ac:dyDescent="0.2">
      <c r="A79" s="2" t="s">
        <v>40</v>
      </c>
      <c r="B79" s="2" t="s">
        <v>239</v>
      </c>
      <c r="C79" s="9"/>
    </row>
    <row r="80" spans="1:5" x14ac:dyDescent="0.2">
      <c r="A80" s="2" t="s">
        <v>41</v>
      </c>
      <c r="B80" s="2" t="s">
        <v>240</v>
      </c>
      <c r="C80" s="9"/>
    </row>
    <row r="81" spans="1:5" x14ac:dyDescent="0.2">
      <c r="A81" s="2" t="s">
        <v>42</v>
      </c>
      <c r="B81" s="2" t="s">
        <v>241</v>
      </c>
      <c r="C81" s="9"/>
    </row>
    <row r="82" spans="1:5" x14ac:dyDescent="0.2">
      <c r="A82" s="2" t="s">
        <v>43</v>
      </c>
      <c r="B82" s="2" t="s">
        <v>77</v>
      </c>
      <c r="C82" s="9"/>
    </row>
    <row r="83" spans="1:5" x14ac:dyDescent="0.2">
      <c r="A83" s="103" t="s">
        <v>71</v>
      </c>
      <c r="B83" s="103"/>
      <c r="C83" s="10">
        <f>SUM(C79:C82)</f>
        <v>0</v>
      </c>
    </row>
    <row r="84" spans="1:5" x14ac:dyDescent="0.2">
      <c r="A84" s="119" t="s">
        <v>293</v>
      </c>
      <c r="B84" s="119"/>
      <c r="C84" s="119"/>
    </row>
    <row r="85" spans="1:5" x14ac:dyDescent="0.2">
      <c r="A85" s="119" t="s">
        <v>382</v>
      </c>
      <c r="B85" s="119"/>
      <c r="C85" s="119"/>
      <c r="D85" s="54"/>
      <c r="E85" s="54"/>
    </row>
    <row r="86" spans="1:5" x14ac:dyDescent="0.2">
      <c r="A86" s="131"/>
      <c r="B86" s="131"/>
      <c r="C86" s="131"/>
    </row>
    <row r="87" spans="1:5" x14ac:dyDescent="0.2">
      <c r="A87" s="119"/>
      <c r="B87" s="119"/>
      <c r="C87" s="119"/>
    </row>
    <row r="89" spans="1:5" x14ac:dyDescent="0.2">
      <c r="A89" s="109" t="s">
        <v>99</v>
      </c>
      <c r="B89" s="109"/>
      <c r="C89" s="109"/>
      <c r="D89" s="109"/>
      <c r="E89" s="109"/>
    </row>
    <row r="90" spans="1:5" x14ac:dyDescent="0.2">
      <c r="A90" s="73"/>
      <c r="B90" s="73"/>
      <c r="C90" s="73"/>
      <c r="D90" s="74"/>
    </row>
    <row r="91" spans="1:5" x14ac:dyDescent="0.2">
      <c r="C91" s="11" t="s">
        <v>108</v>
      </c>
      <c r="D91" s="75" t="s">
        <v>107</v>
      </c>
      <c r="E91" s="76" t="s">
        <v>71</v>
      </c>
    </row>
    <row r="92" spans="1:5" x14ac:dyDescent="0.2">
      <c r="A92" s="112"/>
      <c r="B92" s="111"/>
      <c r="C92" s="9">
        <v>0</v>
      </c>
      <c r="D92" s="77">
        <f>'Anexo I - Mai'!C91</f>
        <v>0</v>
      </c>
      <c r="E92" s="78">
        <f>C92-D92</f>
        <v>0</v>
      </c>
    </row>
    <row r="93" spans="1:5" x14ac:dyDescent="0.2">
      <c r="A93" s="112" t="s">
        <v>343</v>
      </c>
      <c r="B93" s="111"/>
      <c r="C93" s="9">
        <v>449233503.64999998</v>
      </c>
      <c r="D93" s="77">
        <f>'Anexo I - Ago'!C92</f>
        <v>399860477.14999998</v>
      </c>
      <c r="E93" s="78">
        <f>C93-D93</f>
        <v>49373026.5</v>
      </c>
    </row>
    <row r="94" spans="1:5" x14ac:dyDescent="0.2">
      <c r="A94" s="112" t="s">
        <v>344</v>
      </c>
      <c r="B94" s="111"/>
      <c r="C94" s="9">
        <v>90488.17</v>
      </c>
      <c r="D94" s="77">
        <f>'Anexo I - Ago'!C93</f>
        <v>84212.9</v>
      </c>
      <c r="E94" s="78">
        <f>C94-D94</f>
        <v>6275.2700000000041</v>
      </c>
    </row>
    <row r="95" spans="1:5" x14ac:dyDescent="0.2">
      <c r="A95" s="112" t="s">
        <v>97</v>
      </c>
      <c r="B95" s="120"/>
      <c r="C95" s="120"/>
      <c r="D95" s="111"/>
      <c r="E95" s="79">
        <f>SUM(E92:E94)</f>
        <v>49379301.770000003</v>
      </c>
    </row>
    <row r="96" spans="1:5" x14ac:dyDescent="0.2">
      <c r="A96" s="112" t="s">
        <v>98</v>
      </c>
      <c r="B96" s="120"/>
      <c r="C96" s="120"/>
      <c r="D96" s="111"/>
      <c r="E96" s="79">
        <f>C17+C48+C58+C65</f>
        <v>49379301.770000003</v>
      </c>
    </row>
    <row r="97" spans="4:6" x14ac:dyDescent="0.2">
      <c r="D97" s="74"/>
    </row>
    <row r="98" spans="4:6" x14ac:dyDescent="0.2">
      <c r="D98" s="80" t="s">
        <v>337</v>
      </c>
      <c r="E98" s="81">
        <f>42146819.92+7211056.58+15150+6275.27</f>
        <v>49379301.770000003</v>
      </c>
    </row>
    <row r="99" spans="4:6" x14ac:dyDescent="0.2">
      <c r="D99" s="74"/>
      <c r="E99" s="82" t="str">
        <f>IF(E96=E98,"Despesa Ok","Diferença")</f>
        <v>Despesa Ok</v>
      </c>
      <c r="F99" s="8"/>
    </row>
    <row r="100" spans="4:6" x14ac:dyDescent="0.2">
      <c r="D100" s="74"/>
      <c r="E100" s="59">
        <f>E96-E98</f>
        <v>0</v>
      </c>
      <c r="F100" s="60" t="s">
        <v>338</v>
      </c>
    </row>
    <row r="101" spans="4:6" x14ac:dyDescent="0.2">
      <c r="D101" s="74"/>
      <c r="E101" s="74"/>
    </row>
    <row r="102" spans="4:6" x14ac:dyDescent="0.2">
      <c r="D102" s="74"/>
      <c r="E102" s="74" t="s">
        <v>249</v>
      </c>
    </row>
    <row r="103" spans="4:6" x14ac:dyDescent="0.2">
      <c r="D103" s="74"/>
    </row>
    <row r="104" spans="4:6" x14ac:dyDescent="0.2">
      <c r="D104" s="74"/>
    </row>
  </sheetData>
  <mergeCells count="23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A86:C86"/>
    <mergeCell ref="B6:C6"/>
    <mergeCell ref="B7:C7"/>
    <mergeCell ref="B8:C8"/>
    <mergeCell ref="A17:B17"/>
    <mergeCell ref="A85:C85"/>
    <mergeCell ref="A84:C84"/>
    <mergeCell ref="A87:C87"/>
    <mergeCell ref="A96:D96"/>
    <mergeCell ref="A89:E89"/>
    <mergeCell ref="A92:B92"/>
    <mergeCell ref="A93:B93"/>
    <mergeCell ref="A94:B94"/>
    <mergeCell ref="A95:D9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  <colBreaks count="1" manualBreakCount="1">
    <brk id="3" max="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23</vt:i4>
      </vt:variant>
      <vt:variant>
        <vt:lpstr>Intervalos nomeados</vt:lpstr>
      </vt:variant>
      <vt:variant>
        <vt:i4>15</vt:i4>
      </vt:variant>
    </vt:vector>
  </HeadingPairs>
  <TitlesOfParts>
    <vt:vector size="38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Despesa - Access Emag</vt:lpstr>
      <vt:lpstr>Financeiro - Access</vt:lpstr>
      <vt:lpstr>Financeiro - Access Emag</vt:lpstr>
      <vt:lpstr>Orcamento - Access</vt:lpstr>
      <vt:lpstr>Decisões Judiciais</vt:lpstr>
      <vt:lpstr>Outras Receitas</vt:lpstr>
      <vt:lpstr>RP - Access</vt:lpstr>
      <vt:lpstr>RP - AccessEmag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2017-09-20T16:29:05Z</cp:lastPrinted>
  <dcterms:created xsi:type="dcterms:W3CDTF">2010-03-11T09:53:57Z</dcterms:created>
  <dcterms:modified xsi:type="dcterms:W3CDTF">2018-01-19T20:06:11Z</dcterms:modified>
</cp:coreProperties>
</file>