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930" yWindow="7275" windowWidth="15480" windowHeight="8580" tabRatio="900" firstSheet="6" activeTab="6"/>
  </bookViews>
  <sheets>
    <sheet name="Jan" sheetId="1" state="hidden" r:id="rId1"/>
    <sheet name="Fev" sheetId="2" state="hidden" r:id="rId2"/>
    <sheet name="Mar" sheetId="3" state="hidden" r:id="rId3"/>
    <sheet name="Abr" sheetId="4" state="hidden" r:id="rId4"/>
    <sheet name="Mai" sheetId="5" state="hidden" r:id="rId5"/>
    <sheet name="Jun" sheetId="6" state="hidden" r:id="rId6"/>
    <sheet name="2018-07" sheetId="7" r:id="rId7"/>
    <sheet name="Ago" sheetId="8" state="hidden" r:id="rId8"/>
    <sheet name="Set" sheetId="9" state="hidden" r:id="rId9"/>
    <sheet name="Out" sheetId="10" state="hidden" r:id="rId10"/>
    <sheet name="Nov" sheetId="11" state="hidden" r:id="rId11"/>
    <sheet name="Dez" sheetId="12" state="hidden" r:id="rId12"/>
    <sheet name="Access-Jan" sheetId="13" state="hidden" r:id="rId13"/>
    <sheet name="Access-Fev" sheetId="14" state="hidden" r:id="rId14"/>
    <sheet name="Access-Mar" sheetId="15" state="hidden" r:id="rId15"/>
    <sheet name="Access-Abr" sheetId="16" state="hidden" r:id="rId16"/>
    <sheet name="Access-Mai" sheetId="17" state="hidden" r:id="rId17"/>
    <sheet name="Access-Jun" sheetId="18" state="hidden" r:id="rId18"/>
    <sheet name="Access-Jul" sheetId="19" state="hidden" r:id="rId19"/>
    <sheet name="Access-Ago" sheetId="20" state="hidden" r:id="rId20"/>
    <sheet name="Access-Set" sheetId="21" state="hidden" r:id="rId21"/>
    <sheet name="Access-Out" sheetId="22" state="hidden" r:id="rId22"/>
    <sheet name="Access-Nov" sheetId="23" state="hidden" r:id="rId23"/>
    <sheet name="Access-Dez" sheetId="24" state="hidden" r:id="rId24"/>
  </sheets>
  <definedNames>
    <definedName name="_xlnm.Print_Area" localSheetId="6">'2018-07'!$A$1:$X$29</definedName>
    <definedName name="_xlnm.Print_Area" localSheetId="3">Abr!$A$1:$X$30</definedName>
    <definedName name="_xlnm.Print_Area" localSheetId="7">Ago!$A$1:$X$37</definedName>
    <definedName name="_xlnm.Print_Area" localSheetId="11">Dez!$A$1:$X$40</definedName>
    <definedName name="_xlnm.Print_Area" localSheetId="1">Fev!$A$1:$X$30</definedName>
    <definedName name="_xlnm.Print_Area" localSheetId="0">Jan!$A$1:$AA$30</definedName>
    <definedName name="_xlnm.Print_Area" localSheetId="5">Jun!$A$1:$X$30</definedName>
    <definedName name="_xlnm.Print_Area" localSheetId="4">Mai!$A$1:$X$30</definedName>
    <definedName name="_xlnm.Print_Area" localSheetId="2">Mar!$A$1:$X$30</definedName>
    <definedName name="_xlnm.Print_Area" localSheetId="10">Nov!$A$1:$X$40</definedName>
    <definedName name="_xlnm.Print_Area" localSheetId="9">Out!$A$1:$X$38</definedName>
    <definedName name="_xlnm.Print_Area" localSheetId="8">Set!$A$1:$X$38</definedName>
  </definedNames>
  <calcPr calcId="144525"/>
</workbook>
</file>

<file path=xl/calcChain.xml><?xml version="1.0" encoding="utf-8"?>
<calcChain xmlns="http://schemas.openxmlformats.org/spreadsheetml/2006/main">
  <c r="P29" i="19" l="1"/>
  <c r="O29" i="19"/>
  <c r="N29" i="19"/>
  <c r="M29" i="19"/>
  <c r="W35" i="6" l="1"/>
  <c r="U35" i="6"/>
  <c r="S35" i="6"/>
  <c r="R35" i="6"/>
  <c r="P35" i="6"/>
  <c r="W32" i="6"/>
  <c r="U32" i="6"/>
  <c r="S33" i="6"/>
  <c r="S32" i="6"/>
  <c r="R32" i="6"/>
  <c r="P32" i="6"/>
  <c r="W27" i="6"/>
  <c r="U27" i="6"/>
  <c r="S27" i="6"/>
  <c r="P27" i="6"/>
  <c r="J27" i="6"/>
  <c r="I27" i="6"/>
  <c r="H27" i="6"/>
  <c r="G27" i="6"/>
  <c r="F27" i="6"/>
  <c r="E27" i="6"/>
  <c r="D27" i="6"/>
  <c r="C27" i="6"/>
  <c r="B27" i="6"/>
  <c r="A27" i="6"/>
  <c r="W26" i="6"/>
  <c r="U26" i="6"/>
  <c r="S26" i="6"/>
  <c r="P26" i="6"/>
  <c r="J26" i="6"/>
  <c r="I26" i="6"/>
  <c r="H26" i="6"/>
  <c r="G26" i="6"/>
  <c r="F26" i="6"/>
  <c r="E26" i="6"/>
  <c r="D26" i="6"/>
  <c r="C26" i="6"/>
  <c r="B26" i="6"/>
  <c r="A26" i="6"/>
  <c r="W25" i="6"/>
  <c r="U25" i="6"/>
  <c r="S25" i="6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P22" i="6"/>
  <c r="J22" i="6"/>
  <c r="I22" i="6"/>
  <c r="H22" i="6"/>
  <c r="G22" i="6"/>
  <c r="F22" i="6"/>
  <c r="E22" i="6"/>
  <c r="D22" i="6"/>
  <c r="C22" i="6"/>
  <c r="B22" i="6"/>
  <c r="A22" i="6"/>
  <c r="W21" i="6"/>
  <c r="U21" i="6"/>
  <c r="S21" i="6"/>
  <c r="P21" i="6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R20" i="6" s="1"/>
  <c r="X20" i="6" s="1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V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J11" i="6"/>
  <c r="I11" i="6"/>
  <c r="H11" i="6"/>
  <c r="G11" i="6"/>
  <c r="F11" i="6"/>
  <c r="E11" i="6"/>
  <c r="D11" i="6"/>
  <c r="C11" i="6"/>
  <c r="B11" i="6"/>
  <c r="A11" i="6"/>
  <c r="W10" i="6"/>
  <c r="W28" i="6" s="1"/>
  <c r="U10" i="6"/>
  <c r="S10" i="6"/>
  <c r="P10" i="6"/>
  <c r="P28" i="6" s="1"/>
  <c r="J10" i="6"/>
  <c r="I10" i="6"/>
  <c r="H10" i="6"/>
  <c r="G10" i="6"/>
  <c r="F10" i="6"/>
  <c r="E10" i="6"/>
  <c r="D10" i="6"/>
  <c r="C10" i="6"/>
  <c r="B10" i="6"/>
  <c r="A10" i="6"/>
  <c r="V36" i="6"/>
  <c r="W36" i="6"/>
  <c r="U36" i="6"/>
  <c r="R36" i="6"/>
  <c r="P36" i="6"/>
  <c r="Q28" i="6"/>
  <c r="N27" i="6"/>
  <c r="R27" i="6" s="1"/>
  <c r="N26" i="6"/>
  <c r="R25" i="6"/>
  <c r="N25" i="6"/>
  <c r="R24" i="6"/>
  <c r="X24" i="6" s="1"/>
  <c r="N24" i="6"/>
  <c r="N23" i="6"/>
  <c r="R23" i="6" s="1"/>
  <c r="N22" i="6"/>
  <c r="R21" i="6"/>
  <c r="V21" i="6" s="1"/>
  <c r="N21" i="6"/>
  <c r="N20" i="6"/>
  <c r="N19" i="6"/>
  <c r="R19" i="6" s="1"/>
  <c r="N18" i="6"/>
  <c r="R17" i="6"/>
  <c r="N17" i="6"/>
  <c r="R16" i="6"/>
  <c r="X16" i="6" s="1"/>
  <c r="N16" i="6"/>
  <c r="N15" i="6"/>
  <c r="R15" i="6" s="1"/>
  <c r="N14" i="6"/>
  <c r="R13" i="6"/>
  <c r="V13" i="6" s="1"/>
  <c r="N13" i="6"/>
  <c r="N12" i="6"/>
  <c r="U31" i="6"/>
  <c r="U33" i="6" s="1"/>
  <c r="N11" i="6"/>
  <c r="R11" i="6" s="1"/>
  <c r="U28" i="6"/>
  <c r="S31" i="6"/>
  <c r="N10" i="6"/>
  <c r="P29" i="18"/>
  <c r="O29" i="18"/>
  <c r="N29" i="18"/>
  <c r="M29" i="18"/>
  <c r="S36" i="6" l="1"/>
  <c r="P31" i="6"/>
  <c r="P33" i="6" s="1"/>
  <c r="V17" i="6"/>
  <c r="V25" i="6"/>
  <c r="R18" i="6"/>
  <c r="V18" i="6" s="1"/>
  <c r="R26" i="6"/>
  <c r="R10" i="6"/>
  <c r="R14" i="6"/>
  <c r="R22" i="6"/>
  <c r="X22" i="6" s="1"/>
  <c r="X10" i="6"/>
  <c r="T10" i="6"/>
  <c r="V10" i="6"/>
  <c r="V26" i="6"/>
  <c r="X26" i="6"/>
  <c r="T26" i="6"/>
  <c r="V22" i="6"/>
  <c r="X15" i="6"/>
  <c r="T15" i="6"/>
  <c r="V15" i="6"/>
  <c r="X23" i="6"/>
  <c r="T23" i="6"/>
  <c r="V23" i="6"/>
  <c r="X14" i="6"/>
  <c r="V14" i="6"/>
  <c r="T14" i="6"/>
  <c r="X11" i="6"/>
  <c r="T11" i="6"/>
  <c r="V11" i="6"/>
  <c r="X19" i="6"/>
  <c r="T19" i="6"/>
  <c r="V19" i="6"/>
  <c r="X27" i="6"/>
  <c r="T27" i="6"/>
  <c r="V27" i="6"/>
  <c r="V24" i="6"/>
  <c r="T13" i="6"/>
  <c r="X13" i="6"/>
  <c r="T17" i="6"/>
  <c r="X17" i="6"/>
  <c r="T21" i="6"/>
  <c r="X21" i="6"/>
  <c r="T25" i="6"/>
  <c r="X25" i="6"/>
  <c r="W31" i="6"/>
  <c r="W33" i="6" s="1"/>
  <c r="V16" i="6"/>
  <c r="V20" i="6"/>
  <c r="T12" i="6"/>
  <c r="X12" i="6"/>
  <c r="T16" i="6"/>
  <c r="T20" i="6"/>
  <c r="T24" i="6"/>
  <c r="S28" i="6"/>
  <c r="W35" i="5"/>
  <c r="U35" i="5"/>
  <c r="U36" i="5" s="1"/>
  <c r="S35" i="5"/>
  <c r="P36" i="5"/>
  <c r="W36" i="5"/>
  <c r="V36" i="5"/>
  <c r="T36" i="5"/>
  <c r="S36" i="5"/>
  <c r="R36" i="5"/>
  <c r="R35" i="5"/>
  <c r="P35" i="5"/>
  <c r="T18" i="6" l="1"/>
  <c r="R28" i="6"/>
  <c r="X18" i="6"/>
  <c r="R31" i="6"/>
  <c r="R33" i="6" s="1"/>
  <c r="T22" i="6"/>
  <c r="V28" i="6"/>
  <c r="T28" i="6"/>
  <c r="X28" i="6"/>
  <c r="W32" i="5"/>
  <c r="U32" i="5"/>
  <c r="S32" i="5"/>
  <c r="S33" i="5" s="1"/>
  <c r="R32" i="5"/>
  <c r="P32" i="5"/>
  <c r="P29" i="17"/>
  <c r="O29" i="17"/>
  <c r="N29" i="17"/>
  <c r="M29" i="17"/>
  <c r="W31" i="5"/>
  <c r="U31" i="5"/>
  <c r="S31" i="5"/>
  <c r="R31" i="5"/>
  <c r="P31" i="5"/>
  <c r="W33" i="5" l="1"/>
  <c r="R33" i="5"/>
  <c r="P33" i="5"/>
  <c r="U33" i="5"/>
  <c r="W32" i="4"/>
  <c r="U32" i="4"/>
  <c r="U33" i="4" s="1"/>
  <c r="S32" i="4"/>
  <c r="P32" i="4"/>
  <c r="R32" i="4" s="1"/>
  <c r="P29" i="16"/>
  <c r="O29" i="16"/>
  <c r="N29" i="16"/>
  <c r="M29" i="16"/>
  <c r="W35" i="4"/>
  <c r="U35" i="4"/>
  <c r="S35" i="4"/>
  <c r="S36" i="4" s="1"/>
  <c r="R35" i="4"/>
  <c r="P35" i="4"/>
  <c r="W31" i="4"/>
  <c r="W36" i="4" s="1"/>
  <c r="U31" i="4"/>
  <c r="U36" i="4" s="1"/>
  <c r="S31" i="4"/>
  <c r="R31" i="4"/>
  <c r="P31" i="4"/>
  <c r="P36" i="4" s="1"/>
  <c r="S33" i="4" l="1"/>
  <c r="R33" i="4"/>
  <c r="R36" i="4"/>
  <c r="P33" i="4"/>
  <c r="W33" i="4"/>
  <c r="W35" i="3"/>
  <c r="U35" i="3"/>
  <c r="S35" i="3"/>
  <c r="P35" i="3"/>
  <c r="P32" i="3"/>
  <c r="W32" i="3" l="1"/>
  <c r="U32" i="3"/>
  <c r="U33" i="3" s="1"/>
  <c r="S32" i="3"/>
  <c r="S33" i="3" s="1"/>
  <c r="R32" i="3"/>
  <c r="W31" i="3"/>
  <c r="U31" i="3"/>
  <c r="U36" i="3" s="1"/>
  <c r="S31" i="3"/>
  <c r="S36" i="3" s="1"/>
  <c r="R31" i="3"/>
  <c r="P31" i="3"/>
  <c r="W33" i="3" l="1"/>
  <c r="R33" i="3"/>
  <c r="P33" i="3"/>
  <c r="R36" i="3"/>
  <c r="P36" i="3"/>
  <c r="W36" i="3"/>
  <c r="R35" i="2"/>
  <c r="W35" i="2" l="1"/>
  <c r="U35" i="2"/>
  <c r="S35" i="2"/>
  <c r="P35" i="2"/>
  <c r="W32" i="2"/>
  <c r="W31" i="2"/>
  <c r="U32" i="2"/>
  <c r="U31" i="2"/>
  <c r="S31" i="2"/>
  <c r="S32" i="2"/>
  <c r="R32" i="2"/>
  <c r="R31" i="2"/>
  <c r="P31" i="2"/>
  <c r="P32" i="2"/>
  <c r="P29" i="14"/>
  <c r="O29" i="14"/>
  <c r="N29" i="14"/>
  <c r="M29" i="14"/>
  <c r="W36" i="1" l="1"/>
  <c r="U36" i="1"/>
  <c r="S36" i="1"/>
  <c r="R36" i="1"/>
  <c r="P36" i="1"/>
  <c r="W32" i="1" l="1"/>
  <c r="U32" i="1"/>
  <c r="S32" i="1"/>
  <c r="R32" i="1"/>
  <c r="P32" i="1"/>
  <c r="P28" i="13"/>
  <c r="O28" i="13"/>
  <c r="N28" i="13"/>
  <c r="M28" i="13"/>
  <c r="R48" i="12" l="1"/>
  <c r="W48" i="12"/>
  <c r="U48" i="12"/>
  <c r="S48" i="12"/>
  <c r="W47" i="12"/>
  <c r="U47" i="12"/>
  <c r="S47" i="12"/>
  <c r="R47" i="12"/>
  <c r="W44" i="12" l="1"/>
  <c r="U44" i="12"/>
  <c r="S44" i="12"/>
  <c r="R44" i="12"/>
  <c r="P44" i="12"/>
  <c r="P38" i="24"/>
  <c r="O38" i="24"/>
  <c r="N38" i="24"/>
  <c r="M38" i="24"/>
  <c r="W37" i="12"/>
  <c r="U37" i="12"/>
  <c r="S37" i="12"/>
  <c r="R37" i="12"/>
  <c r="V37" i="12" s="1"/>
  <c r="P37" i="12"/>
  <c r="N37" i="12"/>
  <c r="J37" i="12"/>
  <c r="I37" i="12"/>
  <c r="H37" i="12"/>
  <c r="G37" i="12"/>
  <c r="F37" i="12"/>
  <c r="E37" i="12"/>
  <c r="D37" i="12"/>
  <c r="C37" i="12"/>
  <c r="B37" i="12"/>
  <c r="A37" i="12"/>
  <c r="W36" i="12"/>
  <c r="V36" i="12"/>
  <c r="U36" i="12"/>
  <c r="S36" i="12"/>
  <c r="R36" i="12"/>
  <c r="X36" i="12" s="1"/>
  <c r="P36" i="12"/>
  <c r="N36" i="12"/>
  <c r="J36" i="12"/>
  <c r="I36" i="12"/>
  <c r="H36" i="12"/>
  <c r="G36" i="12"/>
  <c r="F36" i="12"/>
  <c r="E36" i="12"/>
  <c r="D36" i="12"/>
  <c r="C36" i="12"/>
  <c r="B36" i="12"/>
  <c r="A36" i="12"/>
  <c r="W35" i="12"/>
  <c r="U35" i="12"/>
  <c r="S35" i="12"/>
  <c r="P35" i="12"/>
  <c r="N35" i="12"/>
  <c r="R35" i="12" s="1"/>
  <c r="X35" i="12" s="1"/>
  <c r="J35" i="12"/>
  <c r="I35" i="12"/>
  <c r="H35" i="12"/>
  <c r="G35" i="12"/>
  <c r="F35" i="12"/>
  <c r="E35" i="12"/>
  <c r="D35" i="12"/>
  <c r="C35" i="12"/>
  <c r="B35" i="12"/>
  <c r="A35" i="12"/>
  <c r="W34" i="12"/>
  <c r="U34" i="12"/>
  <c r="S34" i="12"/>
  <c r="P34" i="12"/>
  <c r="N34" i="12"/>
  <c r="J34" i="12"/>
  <c r="I34" i="12"/>
  <c r="H34" i="12"/>
  <c r="G34" i="12"/>
  <c r="F34" i="12"/>
  <c r="E34" i="12"/>
  <c r="D34" i="12"/>
  <c r="C34" i="12"/>
  <c r="B34" i="12"/>
  <c r="A34" i="12"/>
  <c r="T37" i="12" l="1"/>
  <c r="X37" i="12"/>
  <c r="T36" i="12"/>
  <c r="R34" i="12"/>
  <c r="V34" i="12" s="1"/>
  <c r="V35" i="12"/>
  <c r="T35" i="12"/>
  <c r="W48" i="11"/>
  <c r="W49" i="11" s="1"/>
  <c r="U48" i="11"/>
  <c r="R48" i="11"/>
  <c r="S48" i="11"/>
  <c r="S49" i="11" s="1"/>
  <c r="U49" i="11"/>
  <c r="R49" i="11"/>
  <c r="P49" i="11"/>
  <c r="P48" i="11"/>
  <c r="T34" i="12" l="1"/>
  <c r="X34" i="12"/>
  <c r="W44" i="11"/>
  <c r="U44" i="11"/>
  <c r="S44" i="11"/>
  <c r="R44" i="11"/>
  <c r="P44" i="11"/>
  <c r="W37" i="11"/>
  <c r="U37" i="11"/>
  <c r="S37" i="11"/>
  <c r="R37" i="11"/>
  <c r="V37" i="11" s="1"/>
  <c r="P37" i="11"/>
  <c r="N37" i="11"/>
  <c r="J37" i="11"/>
  <c r="I37" i="11"/>
  <c r="H37" i="11"/>
  <c r="G37" i="11"/>
  <c r="F37" i="11"/>
  <c r="E37" i="11"/>
  <c r="D37" i="11"/>
  <c r="C37" i="11"/>
  <c r="B37" i="11"/>
  <c r="A37" i="11"/>
  <c r="W36" i="11"/>
  <c r="U36" i="11"/>
  <c r="S36" i="11"/>
  <c r="P36" i="11"/>
  <c r="R36" i="11" s="1"/>
  <c r="N36" i="11"/>
  <c r="J36" i="11"/>
  <c r="I36" i="11"/>
  <c r="H36" i="11"/>
  <c r="G36" i="11"/>
  <c r="F36" i="11"/>
  <c r="E36" i="11"/>
  <c r="D36" i="11"/>
  <c r="C36" i="11"/>
  <c r="B36" i="11"/>
  <c r="A36" i="11"/>
  <c r="R32" i="11"/>
  <c r="W35" i="11"/>
  <c r="U35" i="11"/>
  <c r="S35" i="11"/>
  <c r="R35" i="11"/>
  <c r="V35" i="11" s="1"/>
  <c r="P35" i="11"/>
  <c r="N35" i="11"/>
  <c r="J35" i="11"/>
  <c r="I35" i="11"/>
  <c r="H35" i="11"/>
  <c r="G35" i="11"/>
  <c r="F35" i="11"/>
  <c r="E35" i="11"/>
  <c r="D35" i="11"/>
  <c r="C35" i="11"/>
  <c r="B35" i="11"/>
  <c r="A35" i="11"/>
  <c r="W34" i="11"/>
  <c r="U34" i="11"/>
  <c r="S34" i="11"/>
  <c r="R34" i="11"/>
  <c r="T34" i="11" s="1"/>
  <c r="P34" i="11"/>
  <c r="N34" i="11"/>
  <c r="J34" i="11"/>
  <c r="I34" i="11"/>
  <c r="H34" i="11"/>
  <c r="G34" i="11"/>
  <c r="F34" i="11"/>
  <c r="E34" i="11"/>
  <c r="D34" i="11"/>
  <c r="C34" i="11"/>
  <c r="B34" i="11"/>
  <c r="A34" i="11"/>
  <c r="W33" i="11"/>
  <c r="V33" i="11"/>
  <c r="U33" i="11"/>
  <c r="S33" i="11"/>
  <c r="R33" i="11"/>
  <c r="X33" i="11" s="1"/>
  <c r="P33" i="11"/>
  <c r="N33" i="11"/>
  <c r="J33" i="11"/>
  <c r="I33" i="11"/>
  <c r="H33" i="11"/>
  <c r="G33" i="11"/>
  <c r="F33" i="11"/>
  <c r="E33" i="11"/>
  <c r="D33" i="11"/>
  <c r="C33" i="11"/>
  <c r="B33" i="11"/>
  <c r="A33" i="11"/>
  <c r="P39" i="23"/>
  <c r="O39" i="23"/>
  <c r="N39" i="23"/>
  <c r="M39" i="23"/>
  <c r="T37" i="11" l="1"/>
  <c r="X37" i="11"/>
  <c r="X36" i="11"/>
  <c r="T36" i="11"/>
  <c r="V36" i="11"/>
  <c r="T35" i="11"/>
  <c r="X35" i="11"/>
  <c r="V34" i="11"/>
  <c r="X34" i="11"/>
  <c r="T33" i="11"/>
  <c r="W42" i="10"/>
  <c r="U42" i="10"/>
  <c r="S42" i="10"/>
  <c r="R42" i="10"/>
  <c r="P37" i="22"/>
  <c r="O37" i="22"/>
  <c r="N37" i="22"/>
  <c r="P42" i="10"/>
  <c r="W35" i="10"/>
  <c r="U35" i="10"/>
  <c r="S35" i="10"/>
  <c r="R35" i="10"/>
  <c r="X35" i="10" s="1"/>
  <c r="P35" i="10"/>
  <c r="N35" i="10"/>
  <c r="J35" i="10"/>
  <c r="I35" i="10"/>
  <c r="H35" i="10"/>
  <c r="G35" i="10"/>
  <c r="F35" i="10"/>
  <c r="E35" i="10"/>
  <c r="D35" i="10"/>
  <c r="C35" i="10"/>
  <c r="B35" i="10"/>
  <c r="A35" i="10"/>
  <c r="W34" i="10"/>
  <c r="U34" i="10"/>
  <c r="S34" i="10"/>
  <c r="R34" i="10"/>
  <c r="T34" i="10" s="1"/>
  <c r="P34" i="10"/>
  <c r="N34" i="10"/>
  <c r="J34" i="10"/>
  <c r="I34" i="10"/>
  <c r="H34" i="10"/>
  <c r="G34" i="10"/>
  <c r="F34" i="10"/>
  <c r="E34" i="10"/>
  <c r="D34" i="10"/>
  <c r="C34" i="10"/>
  <c r="B34" i="10"/>
  <c r="A34" i="10"/>
  <c r="W33" i="10"/>
  <c r="U33" i="10"/>
  <c r="S33" i="10"/>
  <c r="R33" i="10"/>
  <c r="X33" i="10" s="1"/>
  <c r="P33" i="10"/>
  <c r="N33" i="10"/>
  <c r="J33" i="10"/>
  <c r="I33" i="10"/>
  <c r="H33" i="10"/>
  <c r="G33" i="10"/>
  <c r="F33" i="10"/>
  <c r="E33" i="10"/>
  <c r="D33" i="10"/>
  <c r="C33" i="10"/>
  <c r="B33" i="10"/>
  <c r="A33" i="10"/>
  <c r="W32" i="10"/>
  <c r="U32" i="10"/>
  <c r="S32" i="10"/>
  <c r="R32" i="10"/>
  <c r="V32" i="10" s="1"/>
  <c r="P32" i="10"/>
  <c r="N32" i="10"/>
  <c r="J32" i="10"/>
  <c r="I32" i="10"/>
  <c r="H32" i="10"/>
  <c r="G32" i="10"/>
  <c r="F32" i="10"/>
  <c r="E32" i="10"/>
  <c r="D32" i="10"/>
  <c r="C32" i="10"/>
  <c r="B32" i="10"/>
  <c r="A32" i="10"/>
  <c r="W31" i="10"/>
  <c r="U31" i="10"/>
  <c r="S31" i="10"/>
  <c r="P31" i="10"/>
  <c r="N31" i="10"/>
  <c r="J31" i="10"/>
  <c r="I31" i="10"/>
  <c r="H31" i="10"/>
  <c r="G31" i="10"/>
  <c r="F31" i="10"/>
  <c r="E31" i="10"/>
  <c r="D31" i="10"/>
  <c r="C31" i="10"/>
  <c r="B31" i="10"/>
  <c r="A31" i="10"/>
  <c r="M37" i="22"/>
  <c r="V35" i="10" l="1"/>
  <c r="T35" i="10"/>
  <c r="V34" i="10"/>
  <c r="X34" i="10"/>
  <c r="V33" i="10"/>
  <c r="T33" i="10"/>
  <c r="T32" i="10"/>
  <c r="X32" i="10"/>
  <c r="R31" i="10"/>
  <c r="V31" i="10" s="1"/>
  <c r="X31" i="10"/>
  <c r="T31" i="10"/>
  <c r="W35" i="9"/>
  <c r="U35" i="9"/>
  <c r="S35" i="9"/>
  <c r="P35" i="9"/>
  <c r="N35" i="9"/>
  <c r="R35" i="9" s="1"/>
  <c r="J35" i="9"/>
  <c r="I35" i="9"/>
  <c r="H35" i="9"/>
  <c r="G35" i="9"/>
  <c r="F35" i="9"/>
  <c r="E35" i="9"/>
  <c r="D35" i="9"/>
  <c r="C35" i="9"/>
  <c r="B35" i="9"/>
  <c r="A35" i="9"/>
  <c r="W34" i="9"/>
  <c r="U34" i="9"/>
  <c r="S34" i="9"/>
  <c r="P34" i="9"/>
  <c r="N34" i="9"/>
  <c r="R34" i="9" s="1"/>
  <c r="J34" i="9"/>
  <c r="I34" i="9"/>
  <c r="H34" i="9"/>
  <c r="G34" i="9"/>
  <c r="F34" i="9"/>
  <c r="E34" i="9"/>
  <c r="D34" i="9"/>
  <c r="C34" i="9"/>
  <c r="B34" i="9"/>
  <c r="A34" i="9"/>
  <c r="W33" i="9"/>
  <c r="V33" i="9"/>
  <c r="U33" i="9"/>
  <c r="S33" i="9"/>
  <c r="R33" i="9"/>
  <c r="X33" i="9" s="1"/>
  <c r="P33" i="9"/>
  <c r="N33" i="9"/>
  <c r="J33" i="9"/>
  <c r="I33" i="9"/>
  <c r="H33" i="9"/>
  <c r="G33" i="9"/>
  <c r="F33" i="9"/>
  <c r="E33" i="9"/>
  <c r="D33" i="9"/>
  <c r="C33" i="9"/>
  <c r="B33" i="9"/>
  <c r="A33" i="9"/>
  <c r="W32" i="9"/>
  <c r="U32" i="9"/>
  <c r="S32" i="9"/>
  <c r="P32" i="9"/>
  <c r="N32" i="9"/>
  <c r="R32" i="9" s="1"/>
  <c r="J32" i="9"/>
  <c r="I32" i="9"/>
  <c r="H32" i="9"/>
  <c r="G32" i="9"/>
  <c r="F32" i="9"/>
  <c r="E32" i="9"/>
  <c r="D32" i="9"/>
  <c r="C32" i="9"/>
  <c r="B32" i="9"/>
  <c r="A32" i="9"/>
  <c r="W31" i="9"/>
  <c r="U31" i="9"/>
  <c r="S31" i="9"/>
  <c r="P31" i="9"/>
  <c r="N31" i="9"/>
  <c r="R31" i="9" s="1"/>
  <c r="J31" i="9"/>
  <c r="I31" i="9"/>
  <c r="H31" i="9"/>
  <c r="G31" i="9"/>
  <c r="F31" i="9"/>
  <c r="E31" i="9"/>
  <c r="D31" i="9"/>
  <c r="C31" i="9"/>
  <c r="B31" i="9"/>
  <c r="A31" i="9"/>
  <c r="X35" i="9" l="1"/>
  <c r="T35" i="9"/>
  <c r="V35" i="9"/>
  <c r="V34" i="9"/>
  <c r="X34" i="9"/>
  <c r="T34" i="9"/>
  <c r="T33" i="9"/>
  <c r="V32" i="9"/>
  <c r="X32" i="9"/>
  <c r="T32" i="9"/>
  <c r="X31" i="9"/>
  <c r="V31" i="9"/>
  <c r="T31" i="9"/>
  <c r="W44" i="9" l="1"/>
  <c r="U44" i="9"/>
  <c r="S44" i="9"/>
  <c r="R44" i="9"/>
  <c r="P44" i="9"/>
  <c r="W42" i="9"/>
  <c r="P36" i="21"/>
  <c r="O36" i="21"/>
  <c r="U42" i="9" s="1"/>
  <c r="N36" i="21"/>
  <c r="S42" i="9" s="1"/>
  <c r="M36" i="21"/>
  <c r="R42" i="9" s="1"/>
  <c r="P42" i="9" l="1"/>
  <c r="W34" i="8"/>
  <c r="U34" i="8"/>
  <c r="S34" i="8"/>
  <c r="P34" i="8"/>
  <c r="N34" i="8"/>
  <c r="R34" i="8" s="1"/>
  <c r="J34" i="8"/>
  <c r="I34" i="8"/>
  <c r="H34" i="8"/>
  <c r="G34" i="8"/>
  <c r="F34" i="8"/>
  <c r="E34" i="8"/>
  <c r="D34" i="8"/>
  <c r="C34" i="8"/>
  <c r="B34" i="8"/>
  <c r="A34" i="8"/>
  <c r="W33" i="8"/>
  <c r="U33" i="8"/>
  <c r="S33" i="8"/>
  <c r="P33" i="8"/>
  <c r="N33" i="8"/>
  <c r="J33" i="8"/>
  <c r="I33" i="8"/>
  <c r="H33" i="8"/>
  <c r="G33" i="8"/>
  <c r="F33" i="8"/>
  <c r="E33" i="8"/>
  <c r="D33" i="8"/>
  <c r="C33" i="8"/>
  <c r="B33" i="8"/>
  <c r="A33" i="8"/>
  <c r="R33" i="8" l="1"/>
  <c r="X34" i="8"/>
  <c r="T34" i="8"/>
  <c r="V34" i="8"/>
  <c r="X33" i="8"/>
  <c r="T33" i="8"/>
  <c r="V33" i="8"/>
  <c r="P36" i="20" l="1"/>
  <c r="O36" i="20"/>
  <c r="N36" i="20"/>
  <c r="M36" i="20"/>
  <c r="W27" i="5" l="1"/>
  <c r="U27" i="5"/>
  <c r="S27" i="5"/>
  <c r="P27" i="5"/>
  <c r="J27" i="5"/>
  <c r="I27" i="5"/>
  <c r="H27" i="5"/>
  <c r="G27" i="5"/>
  <c r="F27" i="5"/>
  <c r="E27" i="5"/>
  <c r="D27" i="5"/>
  <c r="C27" i="5"/>
  <c r="B27" i="5"/>
  <c r="A27" i="5"/>
  <c r="W26" i="5"/>
  <c r="U26" i="5"/>
  <c r="S26" i="5"/>
  <c r="P26" i="5"/>
  <c r="J26" i="5"/>
  <c r="I26" i="5"/>
  <c r="H26" i="5"/>
  <c r="G26" i="5"/>
  <c r="F26" i="5"/>
  <c r="E26" i="5"/>
  <c r="D26" i="5"/>
  <c r="C26" i="5"/>
  <c r="B26" i="5"/>
  <c r="A26" i="5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J12" i="5"/>
  <c r="I12" i="5"/>
  <c r="H12" i="5"/>
  <c r="G12" i="5"/>
  <c r="F12" i="5"/>
  <c r="E12" i="5"/>
  <c r="D12" i="5"/>
  <c r="C12" i="5"/>
  <c r="B12" i="5"/>
  <c r="A12" i="5"/>
  <c r="W11" i="5"/>
  <c r="W28" i="5" s="1"/>
  <c r="U11" i="5"/>
  <c r="S11" i="5"/>
  <c r="P11" i="5"/>
  <c r="J11" i="5"/>
  <c r="I11" i="5"/>
  <c r="H11" i="5"/>
  <c r="G11" i="5"/>
  <c r="F11" i="5"/>
  <c r="E11" i="5"/>
  <c r="D11" i="5"/>
  <c r="C11" i="5"/>
  <c r="B11" i="5"/>
  <c r="A11" i="5"/>
  <c r="W10" i="5"/>
  <c r="U10" i="5"/>
  <c r="U28" i="5" s="1"/>
  <c r="S10" i="5"/>
  <c r="P10" i="5"/>
  <c r="J10" i="5"/>
  <c r="I10" i="5"/>
  <c r="H10" i="5"/>
  <c r="G10" i="5"/>
  <c r="F10" i="5"/>
  <c r="E10" i="5"/>
  <c r="D10" i="5"/>
  <c r="C10" i="5"/>
  <c r="B10" i="5"/>
  <c r="A10" i="5"/>
  <c r="Q28" i="5"/>
  <c r="N27" i="5"/>
  <c r="R27" i="5" s="1"/>
  <c r="V27" i="5" s="1"/>
  <c r="N26" i="5"/>
  <c r="R26" i="5" s="1"/>
  <c r="V26" i="5" s="1"/>
  <c r="N25" i="5"/>
  <c r="N24" i="5"/>
  <c r="R24" i="5"/>
  <c r="T24" i="5" s="1"/>
  <c r="N23" i="5"/>
  <c r="N22" i="5"/>
  <c r="R22" i="5" s="1"/>
  <c r="N21" i="5"/>
  <c r="R21" i="5"/>
  <c r="V21" i="5" s="1"/>
  <c r="N20" i="5"/>
  <c r="R20" i="5" s="1"/>
  <c r="N19" i="5"/>
  <c r="R18" i="5"/>
  <c r="V18" i="5" s="1"/>
  <c r="N18" i="5"/>
  <c r="N17" i="5"/>
  <c r="R17" i="5" s="1"/>
  <c r="V17" i="5" s="1"/>
  <c r="N16" i="5"/>
  <c r="R16" i="5" s="1"/>
  <c r="N15" i="5"/>
  <c r="N14" i="5"/>
  <c r="R14" i="5" s="1"/>
  <c r="V14" i="5" s="1"/>
  <c r="N13" i="5"/>
  <c r="R13" i="5" s="1"/>
  <c r="V13" i="5" s="1"/>
  <c r="N12" i="5"/>
  <c r="N11" i="5"/>
  <c r="N10" i="5"/>
  <c r="R10" i="5" s="1"/>
  <c r="W27" i="4"/>
  <c r="U27" i="4"/>
  <c r="S27" i="4"/>
  <c r="P27" i="4"/>
  <c r="J27" i="4"/>
  <c r="I27" i="4"/>
  <c r="H27" i="4"/>
  <c r="G27" i="4"/>
  <c r="F27" i="4"/>
  <c r="E27" i="4"/>
  <c r="D27" i="4"/>
  <c r="C27" i="4"/>
  <c r="B27" i="4"/>
  <c r="A27" i="4"/>
  <c r="W26" i="4"/>
  <c r="U26" i="4"/>
  <c r="S26" i="4"/>
  <c r="P26" i="4"/>
  <c r="J26" i="4"/>
  <c r="I26" i="4"/>
  <c r="H26" i="4"/>
  <c r="G26" i="4"/>
  <c r="F26" i="4"/>
  <c r="E26" i="4"/>
  <c r="D26" i="4"/>
  <c r="C26" i="4"/>
  <c r="B26" i="4"/>
  <c r="A26" i="4"/>
  <c r="W25" i="4"/>
  <c r="U25" i="4"/>
  <c r="S25" i="4"/>
  <c r="P25" i="4"/>
  <c r="J25" i="4"/>
  <c r="I25" i="4"/>
  <c r="H25" i="4"/>
  <c r="G25" i="4"/>
  <c r="F25" i="4"/>
  <c r="E25" i="4"/>
  <c r="D25" i="4"/>
  <c r="C25" i="4"/>
  <c r="B25" i="4"/>
  <c r="A25" i="4"/>
  <c r="W24" i="4"/>
  <c r="U24" i="4"/>
  <c r="S24" i="4"/>
  <c r="P24" i="4"/>
  <c r="J24" i="4"/>
  <c r="I24" i="4"/>
  <c r="H24" i="4"/>
  <c r="G24" i="4"/>
  <c r="F24" i="4"/>
  <c r="E24" i="4"/>
  <c r="D24" i="4"/>
  <c r="C24" i="4"/>
  <c r="B24" i="4"/>
  <c r="A24" i="4"/>
  <c r="W23" i="4"/>
  <c r="U23" i="4"/>
  <c r="S23" i="4"/>
  <c r="P23" i="4"/>
  <c r="J23" i="4"/>
  <c r="I23" i="4"/>
  <c r="H23" i="4"/>
  <c r="G23" i="4"/>
  <c r="F23" i="4"/>
  <c r="E23" i="4"/>
  <c r="D23" i="4"/>
  <c r="C23" i="4"/>
  <c r="B23" i="4"/>
  <c r="A23" i="4"/>
  <c r="W22" i="4"/>
  <c r="U22" i="4"/>
  <c r="S22" i="4"/>
  <c r="P22" i="4"/>
  <c r="J22" i="4"/>
  <c r="I22" i="4"/>
  <c r="H22" i="4"/>
  <c r="G22" i="4"/>
  <c r="F22" i="4"/>
  <c r="E22" i="4"/>
  <c r="D22" i="4"/>
  <c r="C22" i="4"/>
  <c r="B22" i="4"/>
  <c r="A22" i="4"/>
  <c r="W21" i="4"/>
  <c r="U21" i="4"/>
  <c r="S21" i="4"/>
  <c r="P21" i="4"/>
  <c r="J21" i="4"/>
  <c r="I21" i="4"/>
  <c r="H21" i="4"/>
  <c r="G21" i="4"/>
  <c r="F21" i="4"/>
  <c r="E21" i="4"/>
  <c r="D21" i="4"/>
  <c r="C21" i="4"/>
  <c r="B21" i="4"/>
  <c r="A21" i="4"/>
  <c r="W20" i="4"/>
  <c r="U20" i="4"/>
  <c r="S20" i="4"/>
  <c r="P20" i="4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J19" i="4"/>
  <c r="I19" i="4"/>
  <c r="H19" i="4"/>
  <c r="G19" i="4"/>
  <c r="F19" i="4"/>
  <c r="E19" i="4"/>
  <c r="D19" i="4"/>
  <c r="C19" i="4"/>
  <c r="B19" i="4"/>
  <c r="A19" i="4"/>
  <c r="W18" i="4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J15" i="4"/>
  <c r="I15" i="4"/>
  <c r="H15" i="4"/>
  <c r="G15" i="4"/>
  <c r="F15" i="4"/>
  <c r="E15" i="4"/>
  <c r="D15" i="4"/>
  <c r="C15" i="4"/>
  <c r="B15" i="4"/>
  <c r="A15" i="4"/>
  <c r="W14" i="4"/>
  <c r="U14" i="4"/>
  <c r="S14" i="4"/>
  <c r="P14" i="4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P10" i="4"/>
  <c r="J10" i="4"/>
  <c r="I10" i="4"/>
  <c r="H10" i="4"/>
  <c r="G10" i="4"/>
  <c r="F10" i="4"/>
  <c r="E10" i="4"/>
  <c r="D10" i="4"/>
  <c r="C10" i="4"/>
  <c r="B10" i="4"/>
  <c r="A10" i="4"/>
  <c r="Q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W27" i="3"/>
  <c r="U27" i="3"/>
  <c r="S27" i="3"/>
  <c r="P27" i="3"/>
  <c r="J27" i="3"/>
  <c r="I27" i="3"/>
  <c r="H27" i="3"/>
  <c r="G27" i="3"/>
  <c r="F27" i="3"/>
  <c r="E27" i="3"/>
  <c r="D27" i="3"/>
  <c r="C27" i="3"/>
  <c r="B27" i="3"/>
  <c r="A27" i="3"/>
  <c r="W26" i="3"/>
  <c r="U26" i="3"/>
  <c r="S26" i="3"/>
  <c r="P26" i="3"/>
  <c r="J26" i="3"/>
  <c r="I26" i="3"/>
  <c r="H26" i="3"/>
  <c r="G26" i="3"/>
  <c r="F26" i="3"/>
  <c r="E26" i="3"/>
  <c r="D26" i="3"/>
  <c r="C26" i="3"/>
  <c r="B26" i="3"/>
  <c r="A26" i="3"/>
  <c r="W25" i="3"/>
  <c r="U25" i="3"/>
  <c r="S25" i="3"/>
  <c r="P25" i="3"/>
  <c r="J25" i="3"/>
  <c r="I25" i="3"/>
  <c r="H25" i="3"/>
  <c r="G25" i="3"/>
  <c r="F25" i="3"/>
  <c r="E25" i="3"/>
  <c r="D25" i="3"/>
  <c r="C25" i="3"/>
  <c r="B25" i="3"/>
  <c r="A25" i="3"/>
  <c r="W24" i="3"/>
  <c r="U24" i="3"/>
  <c r="S24" i="3"/>
  <c r="P24" i="3"/>
  <c r="J24" i="3"/>
  <c r="I24" i="3"/>
  <c r="H24" i="3"/>
  <c r="G24" i="3"/>
  <c r="F24" i="3"/>
  <c r="E24" i="3"/>
  <c r="D24" i="3"/>
  <c r="C24" i="3"/>
  <c r="B24" i="3"/>
  <c r="A24" i="3"/>
  <c r="W23" i="3"/>
  <c r="U23" i="3"/>
  <c r="S23" i="3"/>
  <c r="P23" i="3"/>
  <c r="J23" i="3"/>
  <c r="I23" i="3"/>
  <c r="H23" i="3"/>
  <c r="G23" i="3"/>
  <c r="F23" i="3"/>
  <c r="E23" i="3"/>
  <c r="D23" i="3"/>
  <c r="C23" i="3"/>
  <c r="B23" i="3"/>
  <c r="A23" i="3"/>
  <c r="W22" i="3"/>
  <c r="U22" i="3"/>
  <c r="S22" i="3"/>
  <c r="P22" i="3"/>
  <c r="J22" i="3"/>
  <c r="I22" i="3"/>
  <c r="H22" i="3"/>
  <c r="G22" i="3"/>
  <c r="F22" i="3"/>
  <c r="E22" i="3"/>
  <c r="D22" i="3"/>
  <c r="C22" i="3"/>
  <c r="B22" i="3"/>
  <c r="A22" i="3"/>
  <c r="W21" i="3"/>
  <c r="U21" i="3"/>
  <c r="S21" i="3"/>
  <c r="P21" i="3"/>
  <c r="J21" i="3"/>
  <c r="I21" i="3"/>
  <c r="H21" i="3"/>
  <c r="G21" i="3"/>
  <c r="F21" i="3"/>
  <c r="E21" i="3"/>
  <c r="D21" i="3"/>
  <c r="C21" i="3"/>
  <c r="B21" i="3"/>
  <c r="A21" i="3"/>
  <c r="W20" i="3"/>
  <c r="U20" i="3"/>
  <c r="S20" i="3"/>
  <c r="P20" i="3"/>
  <c r="J20" i="3"/>
  <c r="I20" i="3"/>
  <c r="H20" i="3"/>
  <c r="G20" i="3"/>
  <c r="F20" i="3"/>
  <c r="E20" i="3"/>
  <c r="D20" i="3"/>
  <c r="C20" i="3"/>
  <c r="B20" i="3"/>
  <c r="A20" i="3"/>
  <c r="W19" i="3"/>
  <c r="U19" i="3"/>
  <c r="S19" i="3"/>
  <c r="P19" i="3"/>
  <c r="J19" i="3"/>
  <c r="I19" i="3"/>
  <c r="H19" i="3"/>
  <c r="G19" i="3"/>
  <c r="F19" i="3"/>
  <c r="E19" i="3"/>
  <c r="D19" i="3"/>
  <c r="C19" i="3"/>
  <c r="B19" i="3"/>
  <c r="A19" i="3"/>
  <c r="W18" i="3"/>
  <c r="U18" i="3"/>
  <c r="S18" i="3"/>
  <c r="P18" i="3"/>
  <c r="J18" i="3"/>
  <c r="I18" i="3"/>
  <c r="H18" i="3"/>
  <c r="G18" i="3"/>
  <c r="F18" i="3"/>
  <c r="E18" i="3"/>
  <c r="D18" i="3"/>
  <c r="C18" i="3"/>
  <c r="B18" i="3"/>
  <c r="A18" i="3"/>
  <c r="W17" i="3"/>
  <c r="U17" i="3"/>
  <c r="S17" i="3"/>
  <c r="P17" i="3"/>
  <c r="J17" i="3"/>
  <c r="I17" i="3"/>
  <c r="H17" i="3"/>
  <c r="G17" i="3"/>
  <c r="F17" i="3"/>
  <c r="E17" i="3"/>
  <c r="D17" i="3"/>
  <c r="C17" i="3"/>
  <c r="B17" i="3"/>
  <c r="A17" i="3"/>
  <c r="W16" i="3"/>
  <c r="U16" i="3"/>
  <c r="S16" i="3"/>
  <c r="P16" i="3"/>
  <c r="J16" i="3"/>
  <c r="I16" i="3"/>
  <c r="H16" i="3"/>
  <c r="G16" i="3"/>
  <c r="F16" i="3"/>
  <c r="E16" i="3"/>
  <c r="D16" i="3"/>
  <c r="C16" i="3"/>
  <c r="B16" i="3"/>
  <c r="A16" i="3"/>
  <c r="W15" i="3"/>
  <c r="U15" i="3"/>
  <c r="S15" i="3"/>
  <c r="P15" i="3"/>
  <c r="J15" i="3"/>
  <c r="I15" i="3"/>
  <c r="H15" i="3"/>
  <c r="G15" i="3"/>
  <c r="F15" i="3"/>
  <c r="E15" i="3"/>
  <c r="D15" i="3"/>
  <c r="C15" i="3"/>
  <c r="B15" i="3"/>
  <c r="A15" i="3"/>
  <c r="W14" i="3"/>
  <c r="U14" i="3"/>
  <c r="S14" i="3"/>
  <c r="P14" i="3"/>
  <c r="J14" i="3"/>
  <c r="I14" i="3"/>
  <c r="H14" i="3"/>
  <c r="G14" i="3"/>
  <c r="F14" i="3"/>
  <c r="E14" i="3"/>
  <c r="D14" i="3"/>
  <c r="C14" i="3"/>
  <c r="B14" i="3"/>
  <c r="A14" i="3"/>
  <c r="W13" i="3"/>
  <c r="U13" i="3"/>
  <c r="S13" i="3"/>
  <c r="P13" i="3"/>
  <c r="J13" i="3"/>
  <c r="I13" i="3"/>
  <c r="H13" i="3"/>
  <c r="G13" i="3"/>
  <c r="F13" i="3"/>
  <c r="E13" i="3"/>
  <c r="D13" i="3"/>
  <c r="C13" i="3"/>
  <c r="B13" i="3"/>
  <c r="A13" i="3"/>
  <c r="W12" i="3"/>
  <c r="U12" i="3"/>
  <c r="S12" i="3"/>
  <c r="P12" i="3"/>
  <c r="J12" i="3"/>
  <c r="I12" i="3"/>
  <c r="H12" i="3"/>
  <c r="G12" i="3"/>
  <c r="F12" i="3"/>
  <c r="E12" i="3"/>
  <c r="D12" i="3"/>
  <c r="C12" i="3"/>
  <c r="B12" i="3"/>
  <c r="A12" i="3"/>
  <c r="W11" i="3"/>
  <c r="U11" i="3"/>
  <c r="S11" i="3"/>
  <c r="P11" i="3"/>
  <c r="J11" i="3"/>
  <c r="I11" i="3"/>
  <c r="H11" i="3"/>
  <c r="G11" i="3"/>
  <c r="F11" i="3"/>
  <c r="E11" i="3"/>
  <c r="D11" i="3"/>
  <c r="C11" i="3"/>
  <c r="B11" i="3"/>
  <c r="A11" i="3"/>
  <c r="W10" i="3"/>
  <c r="U10" i="3"/>
  <c r="S10" i="3"/>
  <c r="P10" i="3"/>
  <c r="J10" i="3"/>
  <c r="I10" i="3"/>
  <c r="H10" i="3"/>
  <c r="G10" i="3"/>
  <c r="F10" i="3"/>
  <c r="E10" i="3"/>
  <c r="D10" i="3"/>
  <c r="C10" i="3"/>
  <c r="B10" i="3"/>
  <c r="A10" i="3"/>
  <c r="Q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M35" i="15"/>
  <c r="P35" i="15"/>
  <c r="O35" i="15"/>
  <c r="N35" i="15"/>
  <c r="A10" i="2"/>
  <c r="Q28" i="1"/>
  <c r="W27" i="1"/>
  <c r="U27" i="1"/>
  <c r="S27" i="1"/>
  <c r="P27" i="1"/>
  <c r="R27" i="1" s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R25" i="1" s="1"/>
  <c r="X25" i="1" s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X19" i="1" s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P28" i="1" s="1"/>
  <c r="N11" i="1"/>
  <c r="J11" i="1"/>
  <c r="I11" i="1"/>
  <c r="H11" i="1"/>
  <c r="G11" i="1"/>
  <c r="F11" i="1"/>
  <c r="E11" i="1"/>
  <c r="D11" i="1"/>
  <c r="C11" i="1"/>
  <c r="B11" i="1"/>
  <c r="A11" i="1"/>
  <c r="W10" i="1"/>
  <c r="W31" i="1" s="1"/>
  <c r="W33" i="1" s="1"/>
  <c r="U10" i="1"/>
  <c r="S10" i="1"/>
  <c r="P10" i="1"/>
  <c r="J10" i="1"/>
  <c r="I10" i="1"/>
  <c r="H10" i="1"/>
  <c r="G10" i="1"/>
  <c r="F10" i="1"/>
  <c r="E10" i="1"/>
  <c r="D10" i="1"/>
  <c r="C10" i="1"/>
  <c r="B10" i="1"/>
  <c r="A10" i="1"/>
  <c r="W33" i="12"/>
  <c r="U33" i="12"/>
  <c r="S33" i="12"/>
  <c r="P33" i="12"/>
  <c r="J33" i="12"/>
  <c r="I33" i="12"/>
  <c r="H33" i="12"/>
  <c r="G33" i="12"/>
  <c r="F33" i="12"/>
  <c r="E33" i="12"/>
  <c r="D33" i="12"/>
  <c r="C33" i="12"/>
  <c r="B33" i="12"/>
  <c r="A33" i="12"/>
  <c r="W32" i="12"/>
  <c r="U32" i="12"/>
  <c r="S32" i="12"/>
  <c r="P32" i="12"/>
  <c r="J32" i="12"/>
  <c r="I32" i="12"/>
  <c r="H32" i="12"/>
  <c r="G32" i="12"/>
  <c r="F32" i="12"/>
  <c r="E32" i="12"/>
  <c r="D32" i="12"/>
  <c r="C32" i="12"/>
  <c r="B32" i="12"/>
  <c r="A32" i="12"/>
  <c r="W31" i="12"/>
  <c r="U31" i="12"/>
  <c r="S31" i="12"/>
  <c r="P31" i="12"/>
  <c r="J31" i="12"/>
  <c r="I31" i="12"/>
  <c r="H31" i="12"/>
  <c r="G31" i="12"/>
  <c r="F31" i="12"/>
  <c r="E31" i="12"/>
  <c r="D31" i="12"/>
  <c r="C31" i="12"/>
  <c r="B31" i="12"/>
  <c r="A31" i="12"/>
  <c r="W30" i="12"/>
  <c r="U30" i="12"/>
  <c r="S30" i="12"/>
  <c r="P30" i="12"/>
  <c r="J30" i="12"/>
  <c r="I30" i="12"/>
  <c r="H30" i="12"/>
  <c r="G30" i="12"/>
  <c r="F30" i="12"/>
  <c r="E30" i="12"/>
  <c r="D30" i="12"/>
  <c r="C30" i="12"/>
  <c r="B30" i="12"/>
  <c r="A30" i="12"/>
  <c r="W29" i="12"/>
  <c r="U29" i="12"/>
  <c r="S29" i="12"/>
  <c r="P29" i="12"/>
  <c r="J29" i="12"/>
  <c r="I29" i="12"/>
  <c r="H29" i="12"/>
  <c r="G29" i="12"/>
  <c r="F29" i="12"/>
  <c r="E29" i="12"/>
  <c r="D29" i="12"/>
  <c r="C29" i="12"/>
  <c r="B29" i="12"/>
  <c r="A29" i="12"/>
  <c r="W28" i="12"/>
  <c r="U28" i="12"/>
  <c r="S28" i="12"/>
  <c r="P28" i="12"/>
  <c r="J28" i="12"/>
  <c r="I28" i="12"/>
  <c r="H28" i="12"/>
  <c r="G28" i="12"/>
  <c r="F28" i="12"/>
  <c r="E28" i="12"/>
  <c r="D28" i="12"/>
  <c r="C28" i="12"/>
  <c r="B28" i="12"/>
  <c r="A28" i="12"/>
  <c r="W27" i="12"/>
  <c r="U27" i="12"/>
  <c r="S27" i="12"/>
  <c r="P27" i="12"/>
  <c r="J27" i="12"/>
  <c r="I27" i="12"/>
  <c r="H27" i="12"/>
  <c r="G27" i="12"/>
  <c r="F27" i="12"/>
  <c r="E27" i="12"/>
  <c r="D27" i="12"/>
  <c r="C27" i="12"/>
  <c r="B27" i="12"/>
  <c r="A27" i="12"/>
  <c r="W26" i="12"/>
  <c r="U26" i="12"/>
  <c r="S26" i="12"/>
  <c r="P26" i="12"/>
  <c r="J26" i="12"/>
  <c r="I26" i="12"/>
  <c r="H26" i="12"/>
  <c r="G26" i="12"/>
  <c r="F26" i="12"/>
  <c r="E26" i="12"/>
  <c r="D26" i="12"/>
  <c r="C26" i="12"/>
  <c r="B26" i="12"/>
  <c r="A26" i="12"/>
  <c r="W25" i="12"/>
  <c r="U25" i="12"/>
  <c r="S25" i="12"/>
  <c r="P25" i="12"/>
  <c r="J25" i="12"/>
  <c r="I25" i="12"/>
  <c r="H25" i="12"/>
  <c r="G25" i="12"/>
  <c r="F25" i="12"/>
  <c r="E25" i="12"/>
  <c r="D25" i="12"/>
  <c r="C25" i="12"/>
  <c r="B25" i="12"/>
  <c r="A25" i="12"/>
  <c r="W24" i="12"/>
  <c r="U24" i="12"/>
  <c r="S24" i="12"/>
  <c r="P24" i="12"/>
  <c r="J24" i="12"/>
  <c r="I24" i="12"/>
  <c r="H24" i="12"/>
  <c r="G24" i="12"/>
  <c r="F24" i="12"/>
  <c r="E24" i="12"/>
  <c r="D24" i="12"/>
  <c r="C24" i="12"/>
  <c r="B24" i="12"/>
  <c r="A24" i="12"/>
  <c r="W23" i="12"/>
  <c r="U23" i="12"/>
  <c r="S23" i="12"/>
  <c r="P23" i="12"/>
  <c r="J23" i="12"/>
  <c r="I23" i="12"/>
  <c r="H23" i="12"/>
  <c r="G23" i="12"/>
  <c r="F23" i="12"/>
  <c r="E23" i="12"/>
  <c r="D23" i="12"/>
  <c r="C23" i="12"/>
  <c r="B23" i="12"/>
  <c r="A23" i="12"/>
  <c r="W22" i="12"/>
  <c r="U22" i="12"/>
  <c r="S22" i="12"/>
  <c r="P22" i="12"/>
  <c r="J22" i="12"/>
  <c r="I22" i="12"/>
  <c r="H22" i="12"/>
  <c r="G22" i="12"/>
  <c r="F22" i="12"/>
  <c r="E22" i="12"/>
  <c r="D22" i="12"/>
  <c r="C22" i="12"/>
  <c r="B22" i="12"/>
  <c r="A22" i="12"/>
  <c r="W21" i="12"/>
  <c r="U21" i="12"/>
  <c r="S21" i="12"/>
  <c r="P21" i="12"/>
  <c r="J21" i="12"/>
  <c r="I21" i="12"/>
  <c r="H21" i="12"/>
  <c r="G21" i="12"/>
  <c r="F21" i="12"/>
  <c r="E21" i="12"/>
  <c r="D21" i="12"/>
  <c r="C21" i="12"/>
  <c r="B21" i="12"/>
  <c r="A21" i="12"/>
  <c r="W20" i="12"/>
  <c r="U20" i="12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J16" i="12"/>
  <c r="I16" i="12"/>
  <c r="H16" i="12"/>
  <c r="G16" i="12"/>
  <c r="F16" i="12"/>
  <c r="E16" i="12"/>
  <c r="D16" i="12"/>
  <c r="C16" i="12"/>
  <c r="B16" i="12"/>
  <c r="A16" i="12"/>
  <c r="W15" i="12"/>
  <c r="U15" i="12"/>
  <c r="S15" i="12"/>
  <c r="P15" i="12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J11" i="12"/>
  <c r="I11" i="12"/>
  <c r="H11" i="12"/>
  <c r="G11" i="12"/>
  <c r="F11" i="12"/>
  <c r="E11" i="12"/>
  <c r="D11" i="12"/>
  <c r="C11" i="12"/>
  <c r="B11" i="12"/>
  <c r="A11" i="12"/>
  <c r="W10" i="12"/>
  <c r="W38" i="12"/>
  <c r="U10" i="12"/>
  <c r="S10" i="12"/>
  <c r="S38" i="12" s="1"/>
  <c r="P10" i="12"/>
  <c r="J10" i="12"/>
  <c r="I10" i="12"/>
  <c r="H10" i="12"/>
  <c r="G10" i="12"/>
  <c r="F10" i="12"/>
  <c r="E10" i="12"/>
  <c r="D10" i="12"/>
  <c r="C10" i="12"/>
  <c r="B10" i="12"/>
  <c r="A10" i="12"/>
  <c r="Q38" i="12"/>
  <c r="N33" i="12"/>
  <c r="R33" i="12"/>
  <c r="T33" i="12" s="1"/>
  <c r="N32" i="12"/>
  <c r="R32" i="12" s="1"/>
  <c r="N31" i="12"/>
  <c r="R31" i="12" s="1"/>
  <c r="X31" i="12" s="1"/>
  <c r="N30" i="12"/>
  <c r="R30" i="12" s="1"/>
  <c r="N29" i="12"/>
  <c r="N28" i="12"/>
  <c r="R28" i="12" s="1"/>
  <c r="N27" i="12"/>
  <c r="N26" i="12"/>
  <c r="R26" i="12" s="1"/>
  <c r="X26" i="12" s="1"/>
  <c r="N25" i="12"/>
  <c r="N24" i="12"/>
  <c r="N23" i="12"/>
  <c r="N22" i="12"/>
  <c r="N21" i="12"/>
  <c r="N20" i="12"/>
  <c r="N19" i="12"/>
  <c r="N18" i="12"/>
  <c r="R18" i="12"/>
  <c r="X18" i="12" s="1"/>
  <c r="N17" i="12"/>
  <c r="N16" i="12"/>
  <c r="N15" i="12"/>
  <c r="N14" i="12"/>
  <c r="R14" i="12" s="1"/>
  <c r="N13" i="12"/>
  <c r="N12" i="12"/>
  <c r="N11" i="12"/>
  <c r="N10" i="12"/>
  <c r="W32" i="11"/>
  <c r="U32" i="11"/>
  <c r="S32" i="11"/>
  <c r="P32" i="11"/>
  <c r="J32" i="11"/>
  <c r="I32" i="11"/>
  <c r="H32" i="11"/>
  <c r="G32" i="11"/>
  <c r="F32" i="11"/>
  <c r="E32" i="11"/>
  <c r="D32" i="11"/>
  <c r="C32" i="11"/>
  <c r="B32" i="11"/>
  <c r="A32" i="11"/>
  <c r="W31" i="11"/>
  <c r="U31" i="11"/>
  <c r="S31" i="11"/>
  <c r="P31" i="11"/>
  <c r="R31" i="11" s="1"/>
  <c r="J31" i="11"/>
  <c r="I31" i="11"/>
  <c r="H31" i="11"/>
  <c r="G31" i="11"/>
  <c r="F31" i="11"/>
  <c r="E31" i="11"/>
  <c r="D31" i="11"/>
  <c r="C31" i="11"/>
  <c r="B31" i="11"/>
  <c r="A31" i="11"/>
  <c r="W30" i="11"/>
  <c r="U30" i="11"/>
  <c r="S30" i="11"/>
  <c r="P30" i="11"/>
  <c r="J30" i="11"/>
  <c r="I30" i="11"/>
  <c r="H30" i="11"/>
  <c r="G30" i="11"/>
  <c r="F30" i="11"/>
  <c r="E30" i="11"/>
  <c r="D30" i="11"/>
  <c r="C30" i="11"/>
  <c r="B30" i="11"/>
  <c r="A30" i="11"/>
  <c r="W29" i="11"/>
  <c r="U29" i="11"/>
  <c r="S29" i="11"/>
  <c r="P29" i="11"/>
  <c r="J29" i="11"/>
  <c r="I29" i="11"/>
  <c r="H29" i="11"/>
  <c r="G29" i="11"/>
  <c r="F29" i="11"/>
  <c r="E29" i="11"/>
  <c r="D29" i="11"/>
  <c r="C29" i="11"/>
  <c r="B29" i="11"/>
  <c r="A29" i="11"/>
  <c r="W28" i="11"/>
  <c r="U28" i="11"/>
  <c r="S28" i="11"/>
  <c r="P28" i="11"/>
  <c r="J28" i="11"/>
  <c r="I28" i="11"/>
  <c r="H28" i="11"/>
  <c r="G28" i="11"/>
  <c r="F28" i="11"/>
  <c r="E28" i="11"/>
  <c r="D28" i="11"/>
  <c r="C28" i="11"/>
  <c r="B28" i="11"/>
  <c r="A28" i="11"/>
  <c r="W27" i="11"/>
  <c r="U27" i="11"/>
  <c r="S27" i="11"/>
  <c r="P27" i="11"/>
  <c r="R27" i="11" s="1"/>
  <c r="J27" i="11"/>
  <c r="I27" i="11"/>
  <c r="H27" i="11"/>
  <c r="G27" i="11"/>
  <c r="F27" i="11"/>
  <c r="E27" i="11"/>
  <c r="D27" i="11"/>
  <c r="C27" i="11"/>
  <c r="B27" i="11"/>
  <c r="A27" i="11"/>
  <c r="W26" i="11"/>
  <c r="U26" i="11"/>
  <c r="S26" i="11"/>
  <c r="P26" i="11"/>
  <c r="J26" i="11"/>
  <c r="I26" i="11"/>
  <c r="H26" i="11"/>
  <c r="G26" i="11"/>
  <c r="F26" i="11"/>
  <c r="E26" i="11"/>
  <c r="D26" i="11"/>
  <c r="C26" i="11"/>
  <c r="B26" i="11"/>
  <c r="A26" i="11"/>
  <c r="W25" i="11"/>
  <c r="U25" i="11"/>
  <c r="S25" i="11"/>
  <c r="P25" i="11"/>
  <c r="J25" i="11"/>
  <c r="I25" i="11"/>
  <c r="H25" i="11"/>
  <c r="G25" i="11"/>
  <c r="F25" i="11"/>
  <c r="E25" i="11"/>
  <c r="D25" i="11"/>
  <c r="C25" i="11"/>
  <c r="B25" i="11"/>
  <c r="A25" i="11"/>
  <c r="W24" i="11"/>
  <c r="U24" i="11"/>
  <c r="S24" i="11"/>
  <c r="P24" i="11"/>
  <c r="J24" i="11"/>
  <c r="I24" i="11"/>
  <c r="H24" i="11"/>
  <c r="G24" i="11"/>
  <c r="F24" i="11"/>
  <c r="E24" i="11"/>
  <c r="D24" i="11"/>
  <c r="C24" i="11"/>
  <c r="B24" i="11"/>
  <c r="A24" i="11"/>
  <c r="W23" i="11"/>
  <c r="U23" i="11"/>
  <c r="S23" i="11"/>
  <c r="P23" i="11"/>
  <c r="R23" i="11" s="1"/>
  <c r="J23" i="11"/>
  <c r="I23" i="11"/>
  <c r="H23" i="11"/>
  <c r="G23" i="11"/>
  <c r="F23" i="11"/>
  <c r="E23" i="11"/>
  <c r="D23" i="11"/>
  <c r="C23" i="11"/>
  <c r="B23" i="11"/>
  <c r="A23" i="11"/>
  <c r="W22" i="11"/>
  <c r="U22" i="11"/>
  <c r="S22" i="11"/>
  <c r="P22" i="11"/>
  <c r="J22" i="11"/>
  <c r="I22" i="11"/>
  <c r="H22" i="11"/>
  <c r="G22" i="11"/>
  <c r="F22" i="11"/>
  <c r="E22" i="11"/>
  <c r="D22" i="11"/>
  <c r="C22" i="11"/>
  <c r="B22" i="11"/>
  <c r="A22" i="11"/>
  <c r="W21" i="11"/>
  <c r="U21" i="11"/>
  <c r="S21" i="11"/>
  <c r="P21" i="11"/>
  <c r="J21" i="11"/>
  <c r="I21" i="11"/>
  <c r="H21" i="11"/>
  <c r="G21" i="11"/>
  <c r="F21" i="11"/>
  <c r="E21" i="11"/>
  <c r="D21" i="11"/>
  <c r="C21" i="11"/>
  <c r="B21" i="11"/>
  <c r="A21" i="11"/>
  <c r="W20" i="11"/>
  <c r="U20" i="11"/>
  <c r="S20" i="11"/>
  <c r="P20" i="11"/>
  <c r="J20" i="11"/>
  <c r="I20" i="11"/>
  <c r="H20" i="11"/>
  <c r="G20" i="11"/>
  <c r="F20" i="11"/>
  <c r="E20" i="11"/>
  <c r="D20" i="11"/>
  <c r="C20" i="11"/>
  <c r="B20" i="11"/>
  <c r="A20" i="11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J16" i="11"/>
  <c r="I16" i="11"/>
  <c r="H16" i="11"/>
  <c r="G16" i="11"/>
  <c r="F16" i="11"/>
  <c r="E16" i="11"/>
  <c r="D16" i="11"/>
  <c r="C16" i="11"/>
  <c r="B16" i="11"/>
  <c r="A16" i="11"/>
  <c r="W15" i="11"/>
  <c r="U15" i="11"/>
  <c r="S15" i="11"/>
  <c r="P15" i="11"/>
  <c r="R15" i="11" s="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U10" i="11"/>
  <c r="U43" i="11" s="1"/>
  <c r="U45" i="11" s="1"/>
  <c r="S10" i="11"/>
  <c r="P10" i="11"/>
  <c r="P43" i="11" s="1"/>
  <c r="P45" i="11" s="1"/>
  <c r="J10" i="11"/>
  <c r="I10" i="11"/>
  <c r="H10" i="11"/>
  <c r="G10" i="11"/>
  <c r="F10" i="11"/>
  <c r="E10" i="11"/>
  <c r="D10" i="11"/>
  <c r="C10" i="11"/>
  <c r="B10" i="11"/>
  <c r="A10" i="11"/>
  <c r="Q38" i="11"/>
  <c r="N32" i="11"/>
  <c r="N31" i="11"/>
  <c r="R30" i="11"/>
  <c r="X30" i="11" s="1"/>
  <c r="N30" i="11"/>
  <c r="N29" i="11"/>
  <c r="N28" i="11"/>
  <c r="R28" i="11"/>
  <c r="N27" i="11"/>
  <c r="R26" i="11"/>
  <c r="T26" i="11" s="1"/>
  <c r="N26" i="11"/>
  <c r="N25" i="11"/>
  <c r="N24" i="11"/>
  <c r="N23" i="11"/>
  <c r="R22" i="11"/>
  <c r="N22" i="11"/>
  <c r="N21" i="11"/>
  <c r="N20" i="11"/>
  <c r="R20" i="11"/>
  <c r="N19" i="11"/>
  <c r="R18" i="11"/>
  <c r="T18" i="11" s="1"/>
  <c r="N18" i="11"/>
  <c r="N17" i="11"/>
  <c r="N16" i="11"/>
  <c r="N15" i="11"/>
  <c r="R14" i="11"/>
  <c r="N14" i="11"/>
  <c r="N13" i="11"/>
  <c r="N12" i="11"/>
  <c r="N11" i="11"/>
  <c r="N10" i="11"/>
  <c r="W30" i="10"/>
  <c r="U30" i="10"/>
  <c r="S30" i="10"/>
  <c r="P30" i="10"/>
  <c r="J30" i="10"/>
  <c r="I30" i="10"/>
  <c r="H30" i="10"/>
  <c r="G30" i="10"/>
  <c r="F30" i="10"/>
  <c r="E30" i="10"/>
  <c r="D30" i="10"/>
  <c r="C30" i="10"/>
  <c r="B30" i="10"/>
  <c r="A30" i="10"/>
  <c r="W29" i="10"/>
  <c r="U29" i="10"/>
  <c r="S29" i="10"/>
  <c r="P29" i="10"/>
  <c r="J29" i="10"/>
  <c r="I29" i="10"/>
  <c r="H29" i="10"/>
  <c r="G29" i="10"/>
  <c r="F29" i="10"/>
  <c r="E29" i="10"/>
  <c r="D29" i="10"/>
  <c r="C29" i="10"/>
  <c r="B29" i="10"/>
  <c r="A29" i="10"/>
  <c r="W28" i="10"/>
  <c r="U28" i="10"/>
  <c r="S28" i="10"/>
  <c r="P28" i="10"/>
  <c r="J28" i="10"/>
  <c r="I28" i="10"/>
  <c r="H28" i="10"/>
  <c r="G28" i="10"/>
  <c r="F28" i="10"/>
  <c r="E28" i="10"/>
  <c r="D28" i="10"/>
  <c r="C28" i="10"/>
  <c r="B28" i="10"/>
  <c r="A28" i="10"/>
  <c r="W27" i="10"/>
  <c r="U27" i="10"/>
  <c r="S27" i="10"/>
  <c r="P27" i="10"/>
  <c r="J27" i="10"/>
  <c r="I27" i="10"/>
  <c r="H27" i="10"/>
  <c r="G27" i="10"/>
  <c r="F27" i="10"/>
  <c r="E27" i="10"/>
  <c r="D27" i="10"/>
  <c r="C27" i="10"/>
  <c r="B27" i="10"/>
  <c r="A27" i="10"/>
  <c r="W26" i="10"/>
  <c r="U26" i="10"/>
  <c r="S26" i="10"/>
  <c r="P26" i="10"/>
  <c r="J26" i="10"/>
  <c r="I26" i="10"/>
  <c r="H26" i="10"/>
  <c r="G26" i="10"/>
  <c r="F26" i="10"/>
  <c r="E26" i="10"/>
  <c r="D26" i="10"/>
  <c r="C26" i="10"/>
  <c r="B26" i="10"/>
  <c r="A26" i="10"/>
  <c r="W25" i="10"/>
  <c r="U25" i="10"/>
  <c r="S25" i="10"/>
  <c r="P25" i="10"/>
  <c r="J25" i="10"/>
  <c r="I25" i="10"/>
  <c r="H25" i="10"/>
  <c r="G25" i="10"/>
  <c r="F25" i="10"/>
  <c r="E25" i="10"/>
  <c r="D25" i="10"/>
  <c r="C25" i="10"/>
  <c r="B25" i="10"/>
  <c r="A25" i="10"/>
  <c r="W24" i="10"/>
  <c r="U24" i="10"/>
  <c r="S24" i="10"/>
  <c r="P24" i="10"/>
  <c r="J24" i="10"/>
  <c r="I24" i="10"/>
  <c r="H24" i="10"/>
  <c r="G24" i="10"/>
  <c r="F24" i="10"/>
  <c r="E24" i="10"/>
  <c r="D24" i="10"/>
  <c r="C24" i="10"/>
  <c r="B24" i="10"/>
  <c r="A24" i="10"/>
  <c r="W23" i="10"/>
  <c r="U23" i="10"/>
  <c r="S23" i="10"/>
  <c r="P23" i="10"/>
  <c r="J23" i="10"/>
  <c r="I23" i="10"/>
  <c r="H23" i="10"/>
  <c r="G23" i="10"/>
  <c r="F23" i="10"/>
  <c r="E23" i="10"/>
  <c r="D23" i="10"/>
  <c r="C23" i="10"/>
  <c r="B23" i="10"/>
  <c r="A23" i="10"/>
  <c r="W22" i="10"/>
  <c r="U22" i="10"/>
  <c r="S22" i="10"/>
  <c r="P22" i="10"/>
  <c r="J22" i="10"/>
  <c r="I22" i="10"/>
  <c r="H22" i="10"/>
  <c r="G22" i="10"/>
  <c r="F22" i="10"/>
  <c r="E22" i="10"/>
  <c r="D22" i="10"/>
  <c r="C22" i="10"/>
  <c r="B22" i="10"/>
  <c r="A22" i="10"/>
  <c r="W21" i="10"/>
  <c r="U21" i="10"/>
  <c r="S21" i="10"/>
  <c r="P21" i="10"/>
  <c r="J21" i="10"/>
  <c r="I21" i="10"/>
  <c r="H21" i="10"/>
  <c r="G21" i="10"/>
  <c r="F21" i="10"/>
  <c r="E21" i="10"/>
  <c r="D21" i="10"/>
  <c r="C21" i="10"/>
  <c r="B21" i="10"/>
  <c r="A21" i="10"/>
  <c r="W20" i="10"/>
  <c r="U20" i="10"/>
  <c r="S20" i="10"/>
  <c r="P20" i="10"/>
  <c r="J20" i="10"/>
  <c r="I20" i="10"/>
  <c r="H20" i="10"/>
  <c r="G20" i="10"/>
  <c r="F20" i="10"/>
  <c r="E20" i="10"/>
  <c r="D20" i="10"/>
  <c r="C20" i="10"/>
  <c r="B20" i="10"/>
  <c r="A20" i="10"/>
  <c r="W19" i="10"/>
  <c r="U19" i="10"/>
  <c r="S19" i="10"/>
  <c r="P19" i="10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J10" i="10"/>
  <c r="I10" i="10"/>
  <c r="H10" i="10"/>
  <c r="G10" i="10"/>
  <c r="F10" i="10"/>
  <c r="E10" i="10"/>
  <c r="D10" i="10"/>
  <c r="C10" i="10"/>
  <c r="B10" i="10"/>
  <c r="A10" i="10"/>
  <c r="W9" i="10"/>
  <c r="U9" i="10"/>
  <c r="U36" i="10" s="1"/>
  <c r="S9" i="10"/>
  <c r="P9" i="10"/>
  <c r="J9" i="10"/>
  <c r="I9" i="10"/>
  <c r="H9" i="10"/>
  <c r="G9" i="10"/>
  <c r="F9" i="10"/>
  <c r="E9" i="10"/>
  <c r="D9" i="10"/>
  <c r="C9" i="10"/>
  <c r="B9" i="10"/>
  <c r="A9" i="10"/>
  <c r="Q36" i="10"/>
  <c r="N30" i="10"/>
  <c r="R30" i="10" s="1"/>
  <c r="N29" i="10"/>
  <c r="R29" i="10" s="1"/>
  <c r="N28" i="10"/>
  <c r="R28" i="10" s="1"/>
  <c r="N27" i="10"/>
  <c r="R27" i="10" s="1"/>
  <c r="N26" i="10"/>
  <c r="R26" i="10" s="1"/>
  <c r="N25" i="10"/>
  <c r="R25" i="10" s="1"/>
  <c r="N24" i="10"/>
  <c r="R24" i="10" s="1"/>
  <c r="N23" i="10"/>
  <c r="R23" i="10" s="1"/>
  <c r="N22" i="10"/>
  <c r="R22" i="10" s="1"/>
  <c r="N21" i="10"/>
  <c r="R21" i="10" s="1"/>
  <c r="N20" i="10"/>
  <c r="R20" i="10" s="1"/>
  <c r="N19" i="10"/>
  <c r="N18" i="10"/>
  <c r="R18" i="10" s="1"/>
  <c r="N17" i="10"/>
  <c r="N16" i="10"/>
  <c r="R16" i="10" s="1"/>
  <c r="N15" i="10"/>
  <c r="R15" i="10" s="1"/>
  <c r="N14" i="10"/>
  <c r="N13" i="10"/>
  <c r="N12" i="10"/>
  <c r="N11" i="10"/>
  <c r="N10" i="10"/>
  <c r="N9" i="10"/>
  <c r="R9" i="10" s="1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41" i="9" s="1"/>
  <c r="U43" i="9" s="1"/>
  <c r="U12" i="9"/>
  <c r="U11" i="9"/>
  <c r="U10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36" i="9" s="1"/>
  <c r="S11" i="9"/>
  <c r="S10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N10" i="9"/>
  <c r="R10" i="9" s="1"/>
  <c r="N11" i="9"/>
  <c r="N12" i="9"/>
  <c r="N13" i="9"/>
  <c r="R13" i="9" s="1"/>
  <c r="N14" i="9"/>
  <c r="R14" i="9" s="1"/>
  <c r="N15" i="9"/>
  <c r="N16" i="9"/>
  <c r="R16" i="9" s="1"/>
  <c r="N17" i="9"/>
  <c r="R17" i="9" s="1"/>
  <c r="N18" i="9"/>
  <c r="R18" i="9" s="1"/>
  <c r="N19" i="9"/>
  <c r="N20" i="9"/>
  <c r="N21" i="9"/>
  <c r="R21" i="9" s="1"/>
  <c r="N22" i="9"/>
  <c r="R22" i="9" s="1"/>
  <c r="N23" i="9"/>
  <c r="N24" i="9"/>
  <c r="R24" i="9" s="1"/>
  <c r="N25" i="9"/>
  <c r="R25" i="9" s="1"/>
  <c r="N26" i="9"/>
  <c r="R26" i="9" s="1"/>
  <c r="N27" i="9"/>
  <c r="N28" i="9"/>
  <c r="R28" i="9" s="1"/>
  <c r="N29" i="9"/>
  <c r="R29" i="9" s="1"/>
  <c r="N30" i="9"/>
  <c r="R30" i="9" s="1"/>
  <c r="W41" i="9"/>
  <c r="W43" i="9" s="1"/>
  <c r="Q36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W32" i="8"/>
  <c r="U32" i="8"/>
  <c r="S32" i="8"/>
  <c r="P32" i="8"/>
  <c r="J32" i="8"/>
  <c r="I32" i="8"/>
  <c r="H32" i="8"/>
  <c r="G32" i="8"/>
  <c r="F32" i="8"/>
  <c r="E32" i="8"/>
  <c r="D32" i="8"/>
  <c r="C32" i="8"/>
  <c r="B32" i="8"/>
  <c r="A32" i="8"/>
  <c r="W31" i="8"/>
  <c r="U31" i="8"/>
  <c r="S31" i="8"/>
  <c r="P31" i="8"/>
  <c r="J31" i="8"/>
  <c r="I31" i="8"/>
  <c r="H31" i="8"/>
  <c r="G31" i="8"/>
  <c r="F31" i="8"/>
  <c r="E31" i="8"/>
  <c r="D31" i="8"/>
  <c r="C31" i="8"/>
  <c r="B31" i="8"/>
  <c r="A31" i="8"/>
  <c r="W30" i="8"/>
  <c r="U30" i="8"/>
  <c r="S30" i="8"/>
  <c r="P30" i="8"/>
  <c r="J30" i="8"/>
  <c r="I30" i="8"/>
  <c r="H30" i="8"/>
  <c r="G30" i="8"/>
  <c r="F30" i="8"/>
  <c r="E30" i="8"/>
  <c r="D30" i="8"/>
  <c r="C30" i="8"/>
  <c r="B30" i="8"/>
  <c r="A30" i="8"/>
  <c r="W29" i="8"/>
  <c r="U29" i="8"/>
  <c r="S29" i="8"/>
  <c r="P29" i="8"/>
  <c r="J29" i="8"/>
  <c r="I29" i="8"/>
  <c r="H29" i="8"/>
  <c r="G29" i="8"/>
  <c r="F29" i="8"/>
  <c r="E29" i="8"/>
  <c r="D29" i="8"/>
  <c r="C29" i="8"/>
  <c r="B29" i="8"/>
  <c r="A29" i="8"/>
  <c r="W28" i="8"/>
  <c r="U28" i="8"/>
  <c r="S28" i="8"/>
  <c r="P28" i="8"/>
  <c r="J28" i="8"/>
  <c r="I28" i="8"/>
  <c r="H28" i="8"/>
  <c r="G28" i="8"/>
  <c r="F28" i="8"/>
  <c r="E28" i="8"/>
  <c r="D28" i="8"/>
  <c r="C28" i="8"/>
  <c r="B28" i="8"/>
  <c r="A28" i="8"/>
  <c r="W27" i="8"/>
  <c r="U27" i="8"/>
  <c r="S27" i="8"/>
  <c r="P27" i="8"/>
  <c r="J27" i="8"/>
  <c r="I27" i="8"/>
  <c r="H27" i="8"/>
  <c r="G27" i="8"/>
  <c r="F27" i="8"/>
  <c r="E27" i="8"/>
  <c r="D27" i="8"/>
  <c r="C27" i="8"/>
  <c r="B27" i="8"/>
  <c r="A27" i="8"/>
  <c r="W26" i="8"/>
  <c r="U26" i="8"/>
  <c r="S26" i="8"/>
  <c r="P26" i="8"/>
  <c r="J26" i="8"/>
  <c r="I26" i="8"/>
  <c r="H26" i="8"/>
  <c r="G26" i="8"/>
  <c r="F26" i="8"/>
  <c r="E26" i="8"/>
  <c r="D26" i="8"/>
  <c r="C26" i="8"/>
  <c r="B26" i="8"/>
  <c r="A26" i="8"/>
  <c r="W25" i="8"/>
  <c r="U25" i="8"/>
  <c r="S25" i="8"/>
  <c r="P25" i="8"/>
  <c r="J25" i="8"/>
  <c r="I25" i="8"/>
  <c r="H25" i="8"/>
  <c r="G25" i="8"/>
  <c r="F25" i="8"/>
  <c r="E25" i="8"/>
  <c r="D25" i="8"/>
  <c r="C25" i="8"/>
  <c r="B25" i="8"/>
  <c r="A25" i="8"/>
  <c r="W24" i="8"/>
  <c r="U24" i="8"/>
  <c r="S24" i="8"/>
  <c r="P24" i="8"/>
  <c r="J24" i="8"/>
  <c r="I24" i="8"/>
  <c r="H24" i="8"/>
  <c r="G24" i="8"/>
  <c r="F24" i="8"/>
  <c r="E24" i="8"/>
  <c r="D24" i="8"/>
  <c r="C24" i="8"/>
  <c r="B24" i="8"/>
  <c r="A24" i="8"/>
  <c r="W23" i="8"/>
  <c r="U23" i="8"/>
  <c r="S23" i="8"/>
  <c r="P23" i="8"/>
  <c r="J23" i="8"/>
  <c r="I23" i="8"/>
  <c r="H23" i="8"/>
  <c r="G23" i="8"/>
  <c r="F23" i="8"/>
  <c r="E23" i="8"/>
  <c r="D23" i="8"/>
  <c r="C23" i="8"/>
  <c r="B23" i="8"/>
  <c r="A23" i="8"/>
  <c r="W22" i="8"/>
  <c r="U22" i="8"/>
  <c r="S22" i="8"/>
  <c r="P22" i="8"/>
  <c r="J22" i="8"/>
  <c r="I22" i="8"/>
  <c r="H22" i="8"/>
  <c r="G22" i="8"/>
  <c r="F22" i="8"/>
  <c r="E22" i="8"/>
  <c r="D22" i="8"/>
  <c r="C22" i="8"/>
  <c r="B22" i="8"/>
  <c r="A22" i="8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J11" i="8"/>
  <c r="I11" i="8"/>
  <c r="H11" i="8"/>
  <c r="G11" i="8"/>
  <c r="F11" i="8"/>
  <c r="E11" i="8"/>
  <c r="D11" i="8"/>
  <c r="C11" i="8"/>
  <c r="B11" i="8"/>
  <c r="A11" i="8"/>
  <c r="W10" i="8"/>
  <c r="W35" i="8" s="1"/>
  <c r="U10" i="8"/>
  <c r="S10" i="8"/>
  <c r="P10" i="8"/>
  <c r="J10" i="8"/>
  <c r="I10" i="8"/>
  <c r="H10" i="8"/>
  <c r="G10" i="8"/>
  <c r="F10" i="8"/>
  <c r="E10" i="8"/>
  <c r="D10" i="8"/>
  <c r="C10" i="8"/>
  <c r="B10" i="8"/>
  <c r="A10" i="8"/>
  <c r="Q35" i="8"/>
  <c r="N32" i="8"/>
  <c r="R32" i="8" s="1"/>
  <c r="N31" i="8"/>
  <c r="N30" i="8"/>
  <c r="R30" i="8" s="1"/>
  <c r="N29" i="8"/>
  <c r="R29" i="8" s="1"/>
  <c r="N28" i="8"/>
  <c r="R28" i="8" s="1"/>
  <c r="N27" i="8"/>
  <c r="N26" i="8"/>
  <c r="R26" i="8" s="1"/>
  <c r="N25" i="8"/>
  <c r="N24" i="8"/>
  <c r="R24" i="8" s="1"/>
  <c r="N23" i="8"/>
  <c r="N22" i="8"/>
  <c r="R22" i="8" s="1"/>
  <c r="N21" i="8"/>
  <c r="R21" i="8" s="1"/>
  <c r="N20" i="8"/>
  <c r="R20" i="8" s="1"/>
  <c r="N19" i="8"/>
  <c r="N18" i="8"/>
  <c r="R18" i="8" s="1"/>
  <c r="N17" i="8"/>
  <c r="R17" i="8" s="1"/>
  <c r="N16" i="8"/>
  <c r="N15" i="8"/>
  <c r="R15" i="8" s="1"/>
  <c r="N14" i="8"/>
  <c r="R14" i="8" s="1"/>
  <c r="N13" i="8"/>
  <c r="R13" i="8" s="1"/>
  <c r="N12" i="8"/>
  <c r="R12" i="8" s="1"/>
  <c r="N11" i="8"/>
  <c r="R11" i="8" s="1"/>
  <c r="N10" i="8"/>
  <c r="W27" i="7"/>
  <c r="U27" i="7"/>
  <c r="S27" i="7"/>
  <c r="T27" i="7" s="1"/>
  <c r="P27" i="7"/>
  <c r="J27" i="7"/>
  <c r="I27" i="7"/>
  <c r="H27" i="7"/>
  <c r="G27" i="7"/>
  <c r="F27" i="7"/>
  <c r="E27" i="7"/>
  <c r="D27" i="7"/>
  <c r="C27" i="7"/>
  <c r="B27" i="7"/>
  <c r="A27" i="7"/>
  <c r="W26" i="7"/>
  <c r="U26" i="7"/>
  <c r="S26" i="7"/>
  <c r="P26" i="7"/>
  <c r="J26" i="7"/>
  <c r="I26" i="7"/>
  <c r="H26" i="7"/>
  <c r="G26" i="7"/>
  <c r="F26" i="7"/>
  <c r="E26" i="7"/>
  <c r="D26" i="7"/>
  <c r="C26" i="7"/>
  <c r="B26" i="7"/>
  <c r="A26" i="7"/>
  <c r="W25" i="7"/>
  <c r="U25" i="7"/>
  <c r="S25" i="7"/>
  <c r="P25" i="7"/>
  <c r="J25" i="7"/>
  <c r="I25" i="7"/>
  <c r="H25" i="7"/>
  <c r="G25" i="7"/>
  <c r="F25" i="7"/>
  <c r="E25" i="7"/>
  <c r="D25" i="7"/>
  <c r="C25" i="7"/>
  <c r="B25" i="7"/>
  <c r="A25" i="7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T23" i="7" s="1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T21" i="7" s="1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U11" i="7"/>
  <c r="S11" i="7"/>
  <c r="P11" i="7"/>
  <c r="J11" i="7"/>
  <c r="I11" i="7"/>
  <c r="H11" i="7"/>
  <c r="G11" i="7"/>
  <c r="F11" i="7"/>
  <c r="E11" i="7"/>
  <c r="D11" i="7"/>
  <c r="C11" i="7"/>
  <c r="B11" i="7"/>
  <c r="A11" i="7"/>
  <c r="W10" i="7"/>
  <c r="U10" i="7"/>
  <c r="U28" i="7" s="1"/>
  <c r="S10" i="7"/>
  <c r="P10" i="7"/>
  <c r="P28" i="7" s="1"/>
  <c r="J10" i="7"/>
  <c r="I10" i="7"/>
  <c r="H10" i="7"/>
  <c r="G10" i="7"/>
  <c r="F10" i="7"/>
  <c r="E10" i="7"/>
  <c r="D10" i="7"/>
  <c r="C10" i="7"/>
  <c r="B10" i="7"/>
  <c r="A10" i="7"/>
  <c r="Q28" i="7"/>
  <c r="N27" i="7"/>
  <c r="N26" i="7"/>
  <c r="R26" i="7" s="1"/>
  <c r="N25" i="7"/>
  <c r="R25" i="7" s="1"/>
  <c r="N24" i="7"/>
  <c r="N23" i="7"/>
  <c r="R23" i="7" s="1"/>
  <c r="N22" i="7"/>
  <c r="R22" i="7" s="1"/>
  <c r="V22" i="7" s="1"/>
  <c r="N21" i="7"/>
  <c r="R21" i="7" s="1"/>
  <c r="X21" i="7" s="1"/>
  <c r="N20" i="7"/>
  <c r="R20" i="7"/>
  <c r="V20" i="7" s="1"/>
  <c r="N19" i="7"/>
  <c r="N18" i="7"/>
  <c r="N17" i="7"/>
  <c r="R17" i="7"/>
  <c r="V17" i="7" s="1"/>
  <c r="N16" i="7"/>
  <c r="N15" i="7"/>
  <c r="N14" i="7"/>
  <c r="R14" i="7"/>
  <c r="T14" i="7" s="1"/>
  <c r="N13" i="7"/>
  <c r="N12" i="7"/>
  <c r="R12" i="7" s="1"/>
  <c r="N11" i="7"/>
  <c r="N10" i="7"/>
  <c r="W27" i="2"/>
  <c r="U27" i="2"/>
  <c r="S27" i="2"/>
  <c r="P27" i="2"/>
  <c r="J27" i="2"/>
  <c r="I27" i="2"/>
  <c r="H27" i="2"/>
  <c r="G27" i="2"/>
  <c r="F27" i="2"/>
  <c r="E27" i="2"/>
  <c r="D27" i="2"/>
  <c r="C27" i="2"/>
  <c r="B27" i="2"/>
  <c r="A27" i="2"/>
  <c r="W26" i="2"/>
  <c r="U26" i="2"/>
  <c r="S26" i="2"/>
  <c r="P26" i="2"/>
  <c r="J26" i="2"/>
  <c r="I26" i="2"/>
  <c r="H26" i="2"/>
  <c r="G26" i="2"/>
  <c r="F26" i="2"/>
  <c r="E26" i="2"/>
  <c r="D26" i="2"/>
  <c r="C26" i="2"/>
  <c r="B26" i="2"/>
  <c r="A26" i="2"/>
  <c r="W25" i="2"/>
  <c r="U25" i="2"/>
  <c r="S25" i="2"/>
  <c r="P25" i="2"/>
  <c r="J25" i="2"/>
  <c r="I25" i="2"/>
  <c r="H25" i="2"/>
  <c r="G25" i="2"/>
  <c r="F25" i="2"/>
  <c r="E25" i="2"/>
  <c r="D25" i="2"/>
  <c r="C25" i="2"/>
  <c r="B25" i="2"/>
  <c r="A25" i="2"/>
  <c r="W24" i="2"/>
  <c r="U24" i="2"/>
  <c r="S24" i="2"/>
  <c r="P24" i="2"/>
  <c r="J24" i="2"/>
  <c r="I24" i="2"/>
  <c r="H24" i="2"/>
  <c r="G24" i="2"/>
  <c r="F24" i="2"/>
  <c r="E24" i="2"/>
  <c r="D24" i="2"/>
  <c r="C24" i="2"/>
  <c r="B24" i="2"/>
  <c r="A24" i="2"/>
  <c r="W23" i="2"/>
  <c r="U23" i="2"/>
  <c r="S23" i="2"/>
  <c r="P23" i="2"/>
  <c r="J23" i="2"/>
  <c r="I23" i="2"/>
  <c r="H23" i="2"/>
  <c r="G23" i="2"/>
  <c r="F23" i="2"/>
  <c r="E23" i="2"/>
  <c r="D23" i="2"/>
  <c r="C23" i="2"/>
  <c r="B23" i="2"/>
  <c r="A23" i="2"/>
  <c r="W22" i="2"/>
  <c r="U22" i="2"/>
  <c r="S22" i="2"/>
  <c r="P22" i="2"/>
  <c r="J22" i="2"/>
  <c r="I22" i="2"/>
  <c r="H22" i="2"/>
  <c r="G22" i="2"/>
  <c r="F22" i="2"/>
  <c r="E22" i="2"/>
  <c r="D22" i="2"/>
  <c r="C22" i="2"/>
  <c r="B22" i="2"/>
  <c r="A22" i="2"/>
  <c r="W21" i="2"/>
  <c r="U21" i="2"/>
  <c r="S21" i="2"/>
  <c r="P21" i="2"/>
  <c r="J21" i="2"/>
  <c r="I21" i="2"/>
  <c r="H21" i="2"/>
  <c r="G21" i="2"/>
  <c r="F21" i="2"/>
  <c r="E21" i="2"/>
  <c r="D21" i="2"/>
  <c r="C21" i="2"/>
  <c r="B21" i="2"/>
  <c r="A21" i="2"/>
  <c r="W20" i="2"/>
  <c r="U20" i="2"/>
  <c r="S20" i="2"/>
  <c r="P20" i="2"/>
  <c r="R20" i="2" s="1"/>
  <c r="J20" i="2"/>
  <c r="I20" i="2"/>
  <c r="H20" i="2"/>
  <c r="G20" i="2"/>
  <c r="F20" i="2"/>
  <c r="E20" i="2"/>
  <c r="D20" i="2"/>
  <c r="C20" i="2"/>
  <c r="B20" i="2"/>
  <c r="A20" i="2"/>
  <c r="W19" i="2"/>
  <c r="U19" i="2"/>
  <c r="S19" i="2"/>
  <c r="P19" i="2"/>
  <c r="J19" i="2"/>
  <c r="I19" i="2"/>
  <c r="H19" i="2"/>
  <c r="G19" i="2"/>
  <c r="F19" i="2"/>
  <c r="E19" i="2"/>
  <c r="D19" i="2"/>
  <c r="C19" i="2"/>
  <c r="B19" i="2"/>
  <c r="A19" i="2"/>
  <c r="W18" i="2"/>
  <c r="U18" i="2"/>
  <c r="S18" i="2"/>
  <c r="P18" i="2"/>
  <c r="J18" i="2"/>
  <c r="I18" i="2"/>
  <c r="H18" i="2"/>
  <c r="G18" i="2"/>
  <c r="F18" i="2"/>
  <c r="E18" i="2"/>
  <c r="D18" i="2"/>
  <c r="C18" i="2"/>
  <c r="B18" i="2"/>
  <c r="A18" i="2"/>
  <c r="W17" i="2"/>
  <c r="U17" i="2"/>
  <c r="S17" i="2"/>
  <c r="P17" i="2"/>
  <c r="J17" i="2"/>
  <c r="I17" i="2"/>
  <c r="H17" i="2"/>
  <c r="G17" i="2"/>
  <c r="F17" i="2"/>
  <c r="E17" i="2"/>
  <c r="D17" i="2"/>
  <c r="C17" i="2"/>
  <c r="B17" i="2"/>
  <c r="A17" i="2"/>
  <c r="W16" i="2"/>
  <c r="U16" i="2"/>
  <c r="S16" i="2"/>
  <c r="P16" i="2"/>
  <c r="J16" i="2"/>
  <c r="I16" i="2"/>
  <c r="H16" i="2"/>
  <c r="G16" i="2"/>
  <c r="F16" i="2"/>
  <c r="E16" i="2"/>
  <c r="D16" i="2"/>
  <c r="C16" i="2"/>
  <c r="B16" i="2"/>
  <c r="A16" i="2"/>
  <c r="W15" i="2"/>
  <c r="U15" i="2"/>
  <c r="S15" i="2"/>
  <c r="P15" i="2"/>
  <c r="J15" i="2"/>
  <c r="I15" i="2"/>
  <c r="H15" i="2"/>
  <c r="G15" i="2"/>
  <c r="F15" i="2"/>
  <c r="E15" i="2"/>
  <c r="D15" i="2"/>
  <c r="C15" i="2"/>
  <c r="B15" i="2"/>
  <c r="A15" i="2"/>
  <c r="W14" i="2"/>
  <c r="U14" i="2"/>
  <c r="S14" i="2"/>
  <c r="P14" i="2"/>
  <c r="J14" i="2"/>
  <c r="I14" i="2"/>
  <c r="H14" i="2"/>
  <c r="G14" i="2"/>
  <c r="F14" i="2"/>
  <c r="E14" i="2"/>
  <c r="D14" i="2"/>
  <c r="C14" i="2"/>
  <c r="B14" i="2"/>
  <c r="A14" i="2"/>
  <c r="W13" i="2"/>
  <c r="U13" i="2"/>
  <c r="S13" i="2"/>
  <c r="P13" i="2"/>
  <c r="J13" i="2"/>
  <c r="I13" i="2"/>
  <c r="H13" i="2"/>
  <c r="G13" i="2"/>
  <c r="F13" i="2"/>
  <c r="E13" i="2"/>
  <c r="D13" i="2"/>
  <c r="C13" i="2"/>
  <c r="B13" i="2"/>
  <c r="A13" i="2"/>
  <c r="W12" i="2"/>
  <c r="U12" i="2"/>
  <c r="S12" i="2"/>
  <c r="P12" i="2"/>
  <c r="J12" i="2"/>
  <c r="I12" i="2"/>
  <c r="H12" i="2"/>
  <c r="G12" i="2"/>
  <c r="F12" i="2"/>
  <c r="E12" i="2"/>
  <c r="D12" i="2"/>
  <c r="C12" i="2"/>
  <c r="B12" i="2"/>
  <c r="A12" i="2"/>
  <c r="W11" i="2"/>
  <c r="U11" i="2"/>
  <c r="S11" i="2"/>
  <c r="P11" i="2"/>
  <c r="J11" i="2"/>
  <c r="I11" i="2"/>
  <c r="H11" i="2"/>
  <c r="G11" i="2"/>
  <c r="F11" i="2"/>
  <c r="E11" i="2"/>
  <c r="D11" i="2"/>
  <c r="C11" i="2"/>
  <c r="B11" i="2"/>
  <c r="A11" i="2"/>
  <c r="W10" i="2"/>
  <c r="U10" i="2"/>
  <c r="S10" i="2"/>
  <c r="P10" i="2"/>
  <c r="J10" i="2"/>
  <c r="I10" i="2"/>
  <c r="H10" i="2"/>
  <c r="G10" i="2"/>
  <c r="F10" i="2"/>
  <c r="E10" i="2"/>
  <c r="D10" i="2"/>
  <c r="C10" i="2"/>
  <c r="B10" i="2"/>
  <c r="Q28" i="2"/>
  <c r="N27" i="2"/>
  <c r="N26" i="2"/>
  <c r="R26" i="2" s="1"/>
  <c r="N25" i="2"/>
  <c r="N24" i="2"/>
  <c r="N23" i="2"/>
  <c r="N22" i="2"/>
  <c r="R22" i="2" s="1"/>
  <c r="N21" i="2"/>
  <c r="N20" i="2"/>
  <c r="N19" i="2"/>
  <c r="N18" i="2"/>
  <c r="R18" i="2" s="1"/>
  <c r="N17" i="2"/>
  <c r="N16" i="2"/>
  <c r="N15" i="2"/>
  <c r="N14" i="2"/>
  <c r="R14" i="2" s="1"/>
  <c r="N13" i="2"/>
  <c r="N12" i="2"/>
  <c r="N11" i="2"/>
  <c r="N10" i="2"/>
  <c r="R10" i="2" s="1"/>
  <c r="N10" i="1"/>
  <c r="R10" i="1" s="1"/>
  <c r="V10" i="1" s="1"/>
  <c r="R15" i="7"/>
  <c r="T15" i="7" s="1"/>
  <c r="R27" i="7"/>
  <c r="X27" i="7" s="1"/>
  <c r="R19" i="7"/>
  <c r="X19" i="7" s="1"/>
  <c r="T19" i="7"/>
  <c r="R18" i="7"/>
  <c r="R11" i="7"/>
  <c r="X11" i="7" s="1"/>
  <c r="R16" i="7"/>
  <c r="R24" i="7"/>
  <c r="V18" i="7"/>
  <c r="T18" i="7"/>
  <c r="V27" i="7"/>
  <c r="R10" i="7"/>
  <c r="T10" i="7" s="1"/>
  <c r="V19" i="7"/>
  <c r="T16" i="7"/>
  <c r="S35" i="8"/>
  <c r="R20" i="9"/>
  <c r="X20" i="9" s="1"/>
  <c r="R12" i="9"/>
  <c r="V12" i="9" s="1"/>
  <c r="R19" i="10"/>
  <c r="V19" i="10" s="1"/>
  <c r="R13" i="10"/>
  <c r="V13" i="10" s="1"/>
  <c r="P36" i="10"/>
  <c r="S41" i="10"/>
  <c r="S43" i="10" s="1"/>
  <c r="R11" i="10"/>
  <c r="T11" i="10" s="1"/>
  <c r="W41" i="10"/>
  <c r="W43" i="10" s="1"/>
  <c r="T13" i="10"/>
  <c r="S36" i="10"/>
  <c r="R13" i="11"/>
  <c r="V13" i="11" s="1"/>
  <c r="V14" i="11"/>
  <c r="R17" i="11"/>
  <c r="T17" i="11" s="1"/>
  <c r="R25" i="11"/>
  <c r="X25" i="11" s="1"/>
  <c r="U38" i="11"/>
  <c r="R21" i="11"/>
  <c r="V26" i="11"/>
  <c r="R29" i="11"/>
  <c r="X29" i="11"/>
  <c r="R12" i="11"/>
  <c r="T12" i="11" s="1"/>
  <c r="R16" i="11"/>
  <c r="R24" i="11"/>
  <c r="T24" i="11" s="1"/>
  <c r="V12" i="11"/>
  <c r="X20" i="11"/>
  <c r="V20" i="11"/>
  <c r="T20" i="11"/>
  <c r="V28" i="11"/>
  <c r="T28" i="11"/>
  <c r="V25" i="11"/>
  <c r="V32" i="11"/>
  <c r="X32" i="11"/>
  <c r="T32" i="11"/>
  <c r="X13" i="11"/>
  <c r="X21" i="11"/>
  <c r="T21" i="11"/>
  <c r="V21" i="11"/>
  <c r="V22" i="11"/>
  <c r="V30" i="11"/>
  <c r="T14" i="11"/>
  <c r="X18" i="11"/>
  <c r="T22" i="11"/>
  <c r="T30" i="11"/>
  <c r="V29" i="11"/>
  <c r="V24" i="11"/>
  <c r="V17" i="11"/>
  <c r="X16" i="11"/>
  <c r="V16" i="11"/>
  <c r="R10" i="12"/>
  <c r="X10" i="12" s="1"/>
  <c r="W43" i="12"/>
  <c r="W45" i="12" s="1"/>
  <c r="R26" i="1"/>
  <c r="X26" i="1" s="1"/>
  <c r="S28" i="3"/>
  <c r="W28" i="3"/>
  <c r="R12" i="5"/>
  <c r="V12" i="5" s="1"/>
  <c r="X22" i="5"/>
  <c r="V21" i="7"/>
  <c r="V23" i="7"/>
  <c r="X23" i="7"/>
  <c r="T12" i="7"/>
  <c r="V12" i="7"/>
  <c r="T20" i="7"/>
  <c r="R13" i="7"/>
  <c r="V13" i="7" s="1"/>
  <c r="V24" i="7"/>
  <c r="V10" i="7"/>
  <c r="T24" i="7"/>
  <c r="V26" i="7" l="1"/>
  <c r="T26" i="7"/>
  <c r="V14" i="7"/>
  <c r="X10" i="7"/>
  <c r="X14" i="7"/>
  <c r="X20" i="7"/>
  <c r="X15" i="7"/>
  <c r="V15" i="7"/>
  <c r="V11" i="7"/>
  <c r="T13" i="7"/>
  <c r="X17" i="7"/>
  <c r="T11" i="7"/>
  <c r="T17" i="7"/>
  <c r="X26" i="7"/>
  <c r="X16" i="7"/>
  <c r="X18" i="7"/>
  <c r="W28" i="7"/>
  <c r="T22" i="7"/>
  <c r="V16" i="7"/>
  <c r="S28" i="7"/>
  <c r="T28" i="7" s="1"/>
  <c r="X22" i="7"/>
  <c r="X24" i="7"/>
  <c r="R28" i="7"/>
  <c r="V28" i="7" s="1"/>
  <c r="X12" i="7"/>
  <c r="V16" i="5"/>
  <c r="X16" i="5"/>
  <c r="T15" i="5"/>
  <c r="V15" i="5"/>
  <c r="V25" i="5"/>
  <c r="T25" i="5"/>
  <c r="X20" i="5"/>
  <c r="V20" i="5"/>
  <c r="R11" i="5"/>
  <c r="X11" i="5" s="1"/>
  <c r="P28" i="5"/>
  <c r="T21" i="5"/>
  <c r="V10" i="5"/>
  <c r="R23" i="5"/>
  <c r="T23" i="5" s="1"/>
  <c r="T12" i="5"/>
  <c r="X15" i="5"/>
  <c r="T16" i="5"/>
  <c r="T20" i="5"/>
  <c r="X25" i="5"/>
  <c r="X24" i="5"/>
  <c r="X12" i="5"/>
  <c r="R19" i="5"/>
  <c r="T19" i="5" s="1"/>
  <c r="X14" i="5"/>
  <c r="V22" i="5"/>
  <c r="X18" i="5"/>
  <c r="X21" i="5"/>
  <c r="X13" i="5"/>
  <c r="X17" i="5"/>
  <c r="X27" i="5"/>
  <c r="T26" i="5"/>
  <c r="T18" i="5"/>
  <c r="V24" i="5"/>
  <c r="X26" i="5"/>
  <c r="V11" i="5"/>
  <c r="T27" i="5"/>
  <c r="S28" i="5"/>
  <c r="X10" i="5"/>
  <c r="T17" i="5"/>
  <c r="T13" i="5"/>
  <c r="T10" i="5"/>
  <c r="R11" i="4"/>
  <c r="R24" i="4"/>
  <c r="X24" i="4" s="1"/>
  <c r="R22" i="4"/>
  <c r="T22" i="4" s="1"/>
  <c r="W28" i="4"/>
  <c r="R12" i="4"/>
  <c r="T12" i="4" s="1"/>
  <c r="R10" i="4"/>
  <c r="T10" i="4" s="1"/>
  <c r="T11" i="4"/>
  <c r="R15" i="4"/>
  <c r="T15" i="4" s="1"/>
  <c r="R19" i="4"/>
  <c r="T19" i="4" s="1"/>
  <c r="R23" i="4"/>
  <c r="T23" i="4" s="1"/>
  <c r="R27" i="4"/>
  <c r="T27" i="4" s="1"/>
  <c r="R14" i="4"/>
  <c r="T14" i="4" s="1"/>
  <c r="R16" i="4"/>
  <c r="T16" i="4" s="1"/>
  <c r="R18" i="4"/>
  <c r="T18" i="4" s="1"/>
  <c r="R26" i="4"/>
  <c r="T26" i="4" s="1"/>
  <c r="U28" i="4"/>
  <c r="R25" i="4"/>
  <c r="R13" i="4"/>
  <c r="X13" i="4" s="1"/>
  <c r="R17" i="4"/>
  <c r="V17" i="4" s="1"/>
  <c r="R21" i="4"/>
  <c r="X21" i="4" s="1"/>
  <c r="S28" i="4"/>
  <c r="V11" i="4"/>
  <c r="V15" i="4"/>
  <c r="X22" i="4"/>
  <c r="R20" i="4"/>
  <c r="V22" i="4"/>
  <c r="P28" i="4"/>
  <c r="R27" i="3"/>
  <c r="X27" i="3" s="1"/>
  <c r="R16" i="3"/>
  <c r="T16" i="3" s="1"/>
  <c r="R20" i="3"/>
  <c r="T20" i="3" s="1"/>
  <c r="R26" i="3"/>
  <c r="T26" i="3" s="1"/>
  <c r="R10" i="3"/>
  <c r="T10" i="3" s="1"/>
  <c r="R18" i="3"/>
  <c r="T18" i="3" s="1"/>
  <c r="R12" i="3"/>
  <c r="X12" i="3" s="1"/>
  <c r="R11" i="3"/>
  <c r="X11" i="3" s="1"/>
  <c r="R17" i="3"/>
  <c r="T17" i="3" s="1"/>
  <c r="R19" i="3"/>
  <c r="V19" i="3" s="1"/>
  <c r="R25" i="3"/>
  <c r="T25" i="3" s="1"/>
  <c r="R14" i="3"/>
  <c r="X14" i="3" s="1"/>
  <c r="U28" i="3"/>
  <c r="P28" i="3"/>
  <c r="V25" i="3"/>
  <c r="R23" i="3"/>
  <c r="X23" i="3" s="1"/>
  <c r="R21" i="3"/>
  <c r="X21" i="3" s="1"/>
  <c r="V10" i="3"/>
  <c r="X10" i="3"/>
  <c r="V27" i="3"/>
  <c r="R13" i="3"/>
  <c r="V13" i="3" s="1"/>
  <c r="R24" i="3"/>
  <c r="V24" i="3" s="1"/>
  <c r="T27" i="3"/>
  <c r="V11" i="3"/>
  <c r="R15" i="3"/>
  <c r="T15" i="3" s="1"/>
  <c r="R22" i="3"/>
  <c r="X22" i="3" s="1"/>
  <c r="S33" i="2"/>
  <c r="S36" i="2"/>
  <c r="U36" i="2"/>
  <c r="U33" i="2"/>
  <c r="R16" i="2"/>
  <c r="R24" i="2"/>
  <c r="R19" i="2"/>
  <c r="T19" i="2" s="1"/>
  <c r="R11" i="2"/>
  <c r="R21" i="2"/>
  <c r="V21" i="2" s="1"/>
  <c r="R25" i="2"/>
  <c r="X25" i="2" s="1"/>
  <c r="R15" i="2"/>
  <c r="X15" i="2" s="1"/>
  <c r="T18" i="2"/>
  <c r="V18" i="2"/>
  <c r="V20" i="2"/>
  <c r="R23" i="2"/>
  <c r="X23" i="2" s="1"/>
  <c r="V26" i="2"/>
  <c r="R13" i="2"/>
  <c r="V13" i="2" s="1"/>
  <c r="R17" i="2"/>
  <c r="R27" i="2"/>
  <c r="X27" i="2" s="1"/>
  <c r="V22" i="2"/>
  <c r="T22" i="2"/>
  <c r="T24" i="2"/>
  <c r="X11" i="2"/>
  <c r="V24" i="2"/>
  <c r="X18" i="2"/>
  <c r="X22" i="2"/>
  <c r="X24" i="2"/>
  <c r="X26" i="2"/>
  <c r="U28" i="2"/>
  <c r="R12" i="2"/>
  <c r="T12" i="2" s="1"/>
  <c r="W28" i="2"/>
  <c r="P28" i="2"/>
  <c r="X20" i="2"/>
  <c r="X19" i="2"/>
  <c r="T26" i="2"/>
  <c r="S28" i="2"/>
  <c r="T20" i="2"/>
  <c r="T18" i="1"/>
  <c r="V18" i="1"/>
  <c r="X24" i="1"/>
  <c r="V24" i="1"/>
  <c r="T16" i="1"/>
  <c r="T24" i="1"/>
  <c r="X15" i="1"/>
  <c r="T15" i="1"/>
  <c r="V15" i="1"/>
  <c r="T27" i="1"/>
  <c r="V27" i="1"/>
  <c r="X16" i="1"/>
  <c r="T19" i="1"/>
  <c r="R11" i="1"/>
  <c r="T26" i="1"/>
  <c r="X18" i="1"/>
  <c r="P31" i="1"/>
  <c r="P33" i="1" s="1"/>
  <c r="V19" i="1"/>
  <c r="X10" i="1"/>
  <c r="V26" i="1"/>
  <c r="S28" i="1"/>
  <c r="S31" i="1"/>
  <c r="S33" i="1" s="1"/>
  <c r="U28" i="1"/>
  <c r="W28" i="1"/>
  <c r="R20" i="1"/>
  <c r="X20" i="1" s="1"/>
  <c r="U31" i="1"/>
  <c r="U33" i="1" s="1"/>
  <c r="T25" i="1"/>
  <c r="X27" i="1"/>
  <c r="V25" i="1"/>
  <c r="R23" i="1"/>
  <c r="T23" i="1" s="1"/>
  <c r="T10" i="1"/>
  <c r="R13" i="1"/>
  <c r="R17" i="1"/>
  <c r="X17" i="1" s="1"/>
  <c r="R21" i="1"/>
  <c r="T21" i="1" s="1"/>
  <c r="X14" i="12"/>
  <c r="T14" i="12"/>
  <c r="R12" i="12"/>
  <c r="R22" i="12"/>
  <c r="X22" i="12" s="1"/>
  <c r="T18" i="12"/>
  <c r="S43" i="12"/>
  <c r="S45" i="12" s="1"/>
  <c r="R16" i="12"/>
  <c r="P38" i="12"/>
  <c r="R20" i="12"/>
  <c r="R24" i="12"/>
  <c r="T24" i="12" s="1"/>
  <c r="X28" i="12"/>
  <c r="T28" i="12"/>
  <c r="T22" i="12"/>
  <c r="X32" i="12"/>
  <c r="T32" i="12"/>
  <c r="V32" i="12"/>
  <c r="X16" i="12"/>
  <c r="T16" i="12"/>
  <c r="X30" i="12"/>
  <c r="T30" i="12"/>
  <c r="V20" i="12"/>
  <c r="T20" i="12"/>
  <c r="U38" i="12"/>
  <c r="R13" i="12"/>
  <c r="R15" i="12"/>
  <c r="R17" i="12"/>
  <c r="X17" i="12" s="1"/>
  <c r="R19" i="12"/>
  <c r="X19" i="12" s="1"/>
  <c r="R21" i="12"/>
  <c r="T21" i="12" s="1"/>
  <c r="R23" i="12"/>
  <c r="R25" i="12"/>
  <c r="V25" i="12" s="1"/>
  <c r="R27" i="12"/>
  <c r="X27" i="12" s="1"/>
  <c r="R29" i="12"/>
  <c r="X29" i="12" s="1"/>
  <c r="V14" i="12"/>
  <c r="V18" i="12"/>
  <c r="V22" i="12"/>
  <c r="V28" i="12"/>
  <c r="V30" i="12"/>
  <c r="V13" i="12"/>
  <c r="T13" i="12"/>
  <c r="T31" i="12"/>
  <c r="X33" i="12"/>
  <c r="V24" i="12"/>
  <c r="V12" i="12"/>
  <c r="R11" i="12"/>
  <c r="X11" i="12" s="1"/>
  <c r="V16" i="12"/>
  <c r="V31" i="12"/>
  <c r="V15" i="12"/>
  <c r="T15" i="12"/>
  <c r="X15" i="12"/>
  <c r="V21" i="12"/>
  <c r="X21" i="12"/>
  <c r="X23" i="12"/>
  <c r="V23" i="12"/>
  <c r="T23" i="12"/>
  <c r="X25" i="12"/>
  <c r="T25" i="12"/>
  <c r="T29" i="12"/>
  <c r="V29" i="12"/>
  <c r="T27" i="12"/>
  <c r="V27" i="12"/>
  <c r="V33" i="12"/>
  <c r="T12" i="12"/>
  <c r="X13" i="12"/>
  <c r="V26" i="12"/>
  <c r="X20" i="12"/>
  <c r="V10" i="12"/>
  <c r="T10" i="12"/>
  <c r="U43" i="12"/>
  <c r="U45" i="12" s="1"/>
  <c r="X12" i="12"/>
  <c r="T26" i="12"/>
  <c r="P43" i="12"/>
  <c r="P45" i="12" s="1"/>
  <c r="T19" i="12"/>
  <c r="V19" i="12"/>
  <c r="T23" i="11"/>
  <c r="X23" i="11"/>
  <c r="S38" i="11"/>
  <c r="T31" i="11"/>
  <c r="X31" i="11"/>
  <c r="T15" i="11"/>
  <c r="X15" i="11"/>
  <c r="T16" i="11"/>
  <c r="X17" i="11"/>
  <c r="X12" i="11"/>
  <c r="T13" i="11"/>
  <c r="X14" i="11"/>
  <c r="S43" i="11"/>
  <c r="S45" i="11" s="1"/>
  <c r="X22" i="11"/>
  <c r="X24" i="11"/>
  <c r="R10" i="11"/>
  <c r="T10" i="11" s="1"/>
  <c r="X28" i="11"/>
  <c r="T29" i="11"/>
  <c r="X11" i="11"/>
  <c r="V11" i="11"/>
  <c r="T11" i="11"/>
  <c r="X19" i="11"/>
  <c r="V19" i="11"/>
  <c r="T19" i="11"/>
  <c r="X27" i="11"/>
  <c r="V27" i="11"/>
  <c r="T27" i="11"/>
  <c r="W43" i="11"/>
  <c r="W45" i="11" s="1"/>
  <c r="V18" i="11"/>
  <c r="V15" i="11"/>
  <c r="V23" i="11"/>
  <c r="V31" i="11"/>
  <c r="X26" i="11"/>
  <c r="T25" i="11"/>
  <c r="W38" i="11"/>
  <c r="P38" i="11"/>
  <c r="W36" i="10"/>
  <c r="V15" i="10"/>
  <c r="T15" i="10"/>
  <c r="V27" i="10"/>
  <c r="T27" i="10"/>
  <c r="X27" i="10"/>
  <c r="X28" i="10"/>
  <c r="T28" i="10"/>
  <c r="V28" i="10"/>
  <c r="T24" i="10"/>
  <c r="X24" i="10"/>
  <c r="V24" i="10"/>
  <c r="V21" i="10"/>
  <c r="X21" i="10"/>
  <c r="T22" i="10"/>
  <c r="V22" i="10"/>
  <c r="X22" i="10"/>
  <c r="T26" i="10"/>
  <c r="V26" i="10"/>
  <c r="X26" i="10"/>
  <c r="X19" i="10"/>
  <c r="R17" i="10"/>
  <c r="V17" i="10" s="1"/>
  <c r="X13" i="10"/>
  <c r="R10" i="10"/>
  <c r="R14" i="10"/>
  <c r="V16" i="10"/>
  <c r="X16" i="10"/>
  <c r="T16" i="10"/>
  <c r="X20" i="10"/>
  <c r="T20" i="10"/>
  <c r="V20" i="10"/>
  <c r="V25" i="10"/>
  <c r="T25" i="10"/>
  <c r="X25" i="10"/>
  <c r="X9" i="10"/>
  <c r="T9" i="10"/>
  <c r="V9" i="10"/>
  <c r="V23" i="10"/>
  <c r="X23" i="10"/>
  <c r="T23" i="10"/>
  <c r="T18" i="10"/>
  <c r="V18" i="10"/>
  <c r="X18" i="10"/>
  <c r="X29" i="10"/>
  <c r="T29" i="10"/>
  <c r="V29" i="10"/>
  <c r="V30" i="10"/>
  <c r="T30" i="10"/>
  <c r="X30" i="10"/>
  <c r="X11" i="10"/>
  <c r="T21" i="10"/>
  <c r="R12" i="10"/>
  <c r="T12" i="10" s="1"/>
  <c r="X15" i="10"/>
  <c r="T19" i="10"/>
  <c r="X10" i="10"/>
  <c r="V10" i="10"/>
  <c r="V12" i="10"/>
  <c r="X12" i="10"/>
  <c r="T14" i="10"/>
  <c r="V14" i="10"/>
  <c r="X14" i="10"/>
  <c r="P41" i="10"/>
  <c r="P43" i="10" s="1"/>
  <c r="V11" i="10"/>
  <c r="U41" i="10"/>
  <c r="U43" i="10" s="1"/>
  <c r="S41" i="9"/>
  <c r="S43" i="9" s="1"/>
  <c r="R27" i="9"/>
  <c r="R23" i="9"/>
  <c r="X23" i="9" s="1"/>
  <c r="R19" i="9"/>
  <c r="R15" i="9"/>
  <c r="V15" i="9" s="1"/>
  <c r="R11" i="9"/>
  <c r="V16" i="9"/>
  <c r="X16" i="9"/>
  <c r="T20" i="9"/>
  <c r="W36" i="9"/>
  <c r="P36" i="9"/>
  <c r="V25" i="9"/>
  <c r="X25" i="9"/>
  <c r="V13" i="9"/>
  <c r="X13" i="9"/>
  <c r="V23" i="9"/>
  <c r="T15" i="9"/>
  <c r="V29" i="9"/>
  <c r="T29" i="9"/>
  <c r="X29" i="9"/>
  <c r="X18" i="9"/>
  <c r="T18" i="9"/>
  <c r="V18" i="9"/>
  <c r="T11" i="9"/>
  <c r="X11" i="9"/>
  <c r="V11" i="9"/>
  <c r="V27" i="9"/>
  <c r="T27" i="9"/>
  <c r="X27" i="9"/>
  <c r="U36" i="9"/>
  <c r="X24" i="9"/>
  <c r="V24" i="9"/>
  <c r="T24" i="9"/>
  <c r="X28" i="9"/>
  <c r="V28" i="9"/>
  <c r="T28" i="9"/>
  <c r="T26" i="9"/>
  <c r="X26" i="9"/>
  <c r="V26" i="9"/>
  <c r="V17" i="9"/>
  <c r="X17" i="9"/>
  <c r="T14" i="9"/>
  <c r="X14" i="9"/>
  <c r="V14" i="9"/>
  <c r="T30" i="9"/>
  <c r="X30" i="9"/>
  <c r="V30" i="9"/>
  <c r="T19" i="9"/>
  <c r="X19" i="9"/>
  <c r="V19" i="9"/>
  <c r="X22" i="9"/>
  <c r="V22" i="9"/>
  <c r="T22" i="9"/>
  <c r="T10" i="9"/>
  <c r="X10" i="9"/>
  <c r="V10" i="9"/>
  <c r="V21" i="9"/>
  <c r="T21" i="9"/>
  <c r="X21" i="9"/>
  <c r="X15" i="9"/>
  <c r="T16" i="9"/>
  <c r="T13" i="9"/>
  <c r="P41" i="9"/>
  <c r="P45" i="9" s="1"/>
  <c r="T17" i="9"/>
  <c r="T12" i="9"/>
  <c r="T25" i="9"/>
  <c r="X12" i="9"/>
  <c r="R36" i="9"/>
  <c r="V20" i="9"/>
  <c r="R41" i="9"/>
  <c r="X13" i="7"/>
  <c r="X15" i="4"/>
  <c r="X11" i="4"/>
  <c r="T22" i="5"/>
  <c r="T14" i="5"/>
  <c r="X17" i="2"/>
  <c r="V17" i="2"/>
  <c r="T17" i="2"/>
  <c r="X12" i="1"/>
  <c r="V12" i="1"/>
  <c r="T12" i="1"/>
  <c r="V20" i="1"/>
  <c r="T20" i="1"/>
  <c r="X16" i="3"/>
  <c r="T10" i="2"/>
  <c r="V10" i="2"/>
  <c r="X10" i="2"/>
  <c r="X14" i="2"/>
  <c r="T14" i="2"/>
  <c r="V14" i="2"/>
  <c r="V25" i="7"/>
  <c r="T25" i="7"/>
  <c r="X25" i="7"/>
  <c r="T22" i="1"/>
  <c r="V22" i="1"/>
  <c r="X22" i="1"/>
  <c r="V23" i="5"/>
  <c r="V16" i="2"/>
  <c r="T16" i="2"/>
  <c r="X16" i="2"/>
  <c r="T25" i="2"/>
  <c r="V25" i="2"/>
  <c r="V17" i="1"/>
  <c r="T17" i="1"/>
  <c r="V21" i="1"/>
  <c r="V16" i="1"/>
  <c r="T14" i="1"/>
  <c r="X14" i="1"/>
  <c r="P35" i="8"/>
  <c r="R10" i="8"/>
  <c r="V10" i="8" s="1"/>
  <c r="T30" i="8"/>
  <c r="X30" i="8"/>
  <c r="R23" i="8"/>
  <c r="V23" i="8" s="1"/>
  <c r="U35" i="8"/>
  <c r="T18" i="8"/>
  <c r="X18" i="8"/>
  <c r="V13" i="8"/>
  <c r="T13" i="8"/>
  <c r="R16" i="8"/>
  <c r="X16" i="8" s="1"/>
  <c r="R27" i="8"/>
  <c r="T27" i="8" s="1"/>
  <c r="V17" i="8"/>
  <c r="X17" i="8"/>
  <c r="T17" i="8"/>
  <c r="V24" i="8"/>
  <c r="T24" i="8"/>
  <c r="X24" i="8"/>
  <c r="V11" i="8"/>
  <c r="T11" i="8"/>
  <c r="X11" i="8"/>
  <c r="X14" i="8"/>
  <c r="V14" i="8"/>
  <c r="T14" i="8"/>
  <c r="T29" i="8"/>
  <c r="V29" i="8"/>
  <c r="X29" i="8"/>
  <c r="X13" i="8"/>
  <c r="V30" i="8"/>
  <c r="V18" i="8"/>
  <c r="R19" i="8"/>
  <c r="V19" i="8" s="1"/>
  <c r="R25" i="8"/>
  <c r="T25" i="8" s="1"/>
  <c r="R31" i="8"/>
  <c r="V31" i="8" s="1"/>
  <c r="T22" i="8"/>
  <c r="V22" i="8"/>
  <c r="X22" i="8"/>
  <c r="V28" i="8"/>
  <c r="T28" i="8"/>
  <c r="X28" i="8"/>
  <c r="T12" i="8"/>
  <c r="V12" i="8"/>
  <c r="X12" i="8"/>
  <c r="V20" i="8"/>
  <c r="T20" i="8"/>
  <c r="X20" i="8"/>
  <c r="X26" i="8"/>
  <c r="T26" i="8"/>
  <c r="V26" i="8"/>
  <c r="V15" i="8"/>
  <c r="T15" i="8"/>
  <c r="X15" i="8"/>
  <c r="X21" i="8"/>
  <c r="T21" i="8"/>
  <c r="V21" i="8"/>
  <c r="V32" i="8"/>
  <c r="T32" i="8"/>
  <c r="X32" i="8"/>
  <c r="X28" i="7" l="1"/>
  <c r="T11" i="5"/>
  <c r="X23" i="5"/>
  <c r="V19" i="5"/>
  <c r="R28" i="5"/>
  <c r="X28" i="5" s="1"/>
  <c r="X19" i="5"/>
  <c r="V28" i="5"/>
  <c r="T28" i="5"/>
  <c r="V24" i="4"/>
  <c r="T24" i="4"/>
  <c r="X18" i="4"/>
  <c r="V13" i="4"/>
  <c r="X14" i="4"/>
  <c r="X19" i="4"/>
  <c r="V14" i="4"/>
  <c r="V16" i="4"/>
  <c r="V12" i="4"/>
  <c r="X16" i="4"/>
  <c r="X12" i="4"/>
  <c r="V19" i="4"/>
  <c r="X26" i="4"/>
  <c r="X10" i="4"/>
  <c r="V10" i="4"/>
  <c r="T21" i="4"/>
  <c r="V21" i="4"/>
  <c r="V26" i="4"/>
  <c r="X27" i="4"/>
  <c r="V27" i="4"/>
  <c r="T13" i="4"/>
  <c r="X23" i="4"/>
  <c r="V23" i="4"/>
  <c r="V18" i="4"/>
  <c r="X25" i="4"/>
  <c r="T25" i="4"/>
  <c r="T17" i="4"/>
  <c r="X17" i="4"/>
  <c r="V25" i="4"/>
  <c r="R28" i="4"/>
  <c r="X28" i="4" s="1"/>
  <c r="V20" i="4"/>
  <c r="X20" i="4"/>
  <c r="T20" i="4"/>
  <c r="X24" i="3"/>
  <c r="T11" i="3"/>
  <c r="V18" i="3"/>
  <c r="V21" i="3"/>
  <c r="V16" i="3"/>
  <c r="X18" i="3"/>
  <c r="X17" i="3"/>
  <c r="X26" i="3"/>
  <c r="V14" i="3"/>
  <c r="T13" i="3"/>
  <c r="V26" i="3"/>
  <c r="V20" i="3"/>
  <c r="T14" i="3"/>
  <c r="X25" i="3"/>
  <c r="T23" i="3"/>
  <c r="V17" i="3"/>
  <c r="X20" i="3"/>
  <c r="X19" i="3"/>
  <c r="T22" i="3"/>
  <c r="T12" i="3"/>
  <c r="T19" i="3"/>
  <c r="V12" i="3"/>
  <c r="T21" i="3"/>
  <c r="V15" i="3"/>
  <c r="X15" i="3"/>
  <c r="X13" i="3"/>
  <c r="V23" i="3"/>
  <c r="V22" i="3"/>
  <c r="R28" i="3"/>
  <c r="V28" i="3" s="1"/>
  <c r="T24" i="3"/>
  <c r="T13" i="2"/>
  <c r="X21" i="2"/>
  <c r="X13" i="2"/>
  <c r="W36" i="2"/>
  <c r="W33" i="2"/>
  <c r="P36" i="2"/>
  <c r="P33" i="2"/>
  <c r="T21" i="2"/>
  <c r="V11" i="2"/>
  <c r="V19" i="2"/>
  <c r="T11" i="2"/>
  <c r="V15" i="2"/>
  <c r="V23" i="2"/>
  <c r="T15" i="2"/>
  <c r="V12" i="2"/>
  <c r="X12" i="2"/>
  <c r="T23" i="2"/>
  <c r="T27" i="2"/>
  <c r="V27" i="2"/>
  <c r="R28" i="2"/>
  <c r="T28" i="2" s="1"/>
  <c r="X21" i="1"/>
  <c r="V23" i="1"/>
  <c r="R28" i="1"/>
  <c r="T28" i="1" s="1"/>
  <c r="T13" i="1"/>
  <c r="V11" i="1"/>
  <c r="X11" i="1"/>
  <c r="T11" i="1"/>
  <c r="R31" i="1"/>
  <c r="R33" i="1" s="1"/>
  <c r="V13" i="1"/>
  <c r="X13" i="1"/>
  <c r="X23" i="1"/>
  <c r="T17" i="12"/>
  <c r="X24" i="12"/>
  <c r="R38" i="12"/>
  <c r="V38" i="12" s="1"/>
  <c r="V11" i="12"/>
  <c r="V17" i="12"/>
  <c r="R43" i="12"/>
  <c r="R45" i="12" s="1"/>
  <c r="T11" i="12"/>
  <c r="V10" i="11"/>
  <c r="X10" i="11"/>
  <c r="R43" i="11"/>
  <c r="R45" i="11" s="1"/>
  <c r="R38" i="11"/>
  <c r="V38" i="11" s="1"/>
  <c r="X17" i="10"/>
  <c r="R41" i="10"/>
  <c r="R43" i="10" s="1"/>
  <c r="R36" i="10"/>
  <c r="V36" i="10" s="1"/>
  <c r="T17" i="10"/>
  <c r="T10" i="10"/>
  <c r="R43" i="9"/>
  <c r="R45" i="9"/>
  <c r="T23" i="9"/>
  <c r="P43" i="9"/>
  <c r="V36" i="9"/>
  <c r="X36" i="9"/>
  <c r="T36" i="9"/>
  <c r="V28" i="2"/>
  <c r="T10" i="8"/>
  <c r="X28" i="1"/>
  <c r="V28" i="1"/>
  <c r="X10" i="8"/>
  <c r="T16" i="8"/>
  <c r="V16" i="8"/>
  <c r="T31" i="8"/>
  <c r="X23" i="8"/>
  <c r="T23" i="8"/>
  <c r="X25" i="8"/>
  <c r="V25" i="8"/>
  <c r="X27" i="8"/>
  <c r="X31" i="8"/>
  <c r="V27" i="8"/>
  <c r="R35" i="8"/>
  <c r="X19" i="8"/>
  <c r="T19" i="8"/>
  <c r="T28" i="4" l="1"/>
  <c r="V28" i="4"/>
  <c r="T28" i="3"/>
  <c r="X28" i="3"/>
  <c r="X28" i="2"/>
  <c r="R33" i="2"/>
  <c r="R36" i="2"/>
  <c r="X38" i="12"/>
  <c r="T38" i="12"/>
  <c r="T38" i="11"/>
  <c r="X38" i="11"/>
  <c r="X36" i="10"/>
  <c r="T36" i="10"/>
  <c r="X35" i="8"/>
  <c r="V35" i="8"/>
  <c r="T35" i="8"/>
</calcChain>
</file>

<file path=xl/sharedStrings.xml><?xml version="1.0" encoding="utf-8"?>
<sst xmlns="http://schemas.openxmlformats.org/spreadsheetml/2006/main" count="4137" uniqueCount="168">
  <si>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</si>
  <si>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</si>
  <si>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</si>
  <si>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</si>
  <si>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</si>
  <si>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</si>
  <si>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</si>
  <si>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</si>
  <si>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</si>
  <si>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</si>
  <si>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</si>
  <si>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</si>
  <si>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</si>
  <si>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5</t>
  </si>
  <si>
    <t>3</t>
  </si>
  <si>
    <t>4</t>
  </si>
  <si>
    <t>Soma total</t>
  </si>
  <si>
    <t>Diferença</t>
  </si>
  <si>
    <t>0156</t>
  </si>
  <si>
    <t>0169</t>
  </si>
  <si>
    <t>0100</t>
  </si>
  <si>
    <t>0127</t>
  </si>
  <si>
    <t>0150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</si>
  <si>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</si>
  <si>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</si>
  <si>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</si>
  <si>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</si>
  <si>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</si>
  <si>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</si>
  <si>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</si>
  <si>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</si>
  <si>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</si>
  <si>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</si>
  <si>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</si>
  <si>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</si>
  <si>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02</t>
  </si>
  <si>
    <t>126</t>
  </si>
  <si>
    <t>0569</t>
  </si>
  <si>
    <t>PRESTACAO JURISDICIONAL NA JUSTICA FEDERAL</t>
  </si>
  <si>
    <t>151W</t>
  </si>
  <si>
    <t>DESENVOLVIMENTO E IMPLANTACAO DO SISTEMA PROCESSO JUDICIAL E</t>
  </si>
  <si>
    <t>RECURSOS ORDINARIOS</t>
  </si>
  <si>
    <t>12104</t>
  </si>
  <si>
    <t>TRIBUNAL REGIONAL FEDERAL DA 3A. REGIAO</t>
  </si>
  <si>
    <t>061</t>
  </si>
  <si>
    <t>4224</t>
  </si>
  <si>
    <t>ASSISTENCIA JURIDICA A PESSOAS CARENTES</t>
  </si>
  <si>
    <t>4257</t>
  </si>
  <si>
    <t>JULGAMENTO DE CAUSAS NA JUSTICA FEDERAL</t>
  </si>
  <si>
    <t>CUSTAS E EMOLUMENTOS - PODER JUDICIARIO</t>
  </si>
  <si>
    <t>RECURSOS NAO-FINANCEIROS DIRETAM. ARRECADADOS</t>
  </si>
  <si>
    <t>122</t>
  </si>
  <si>
    <t>09HB</t>
  </si>
  <si>
    <t>CONTRIBUICAO DA UNIAO, DE SUAS AUTARQUIAS E FUNDACOES PARA O</t>
  </si>
  <si>
    <t>20TP</t>
  </si>
  <si>
    <t>REFORMA DO EDIFICIO-SEDE DO TRIBUNAL REGIONAL FEDERAL DA 3.</t>
  </si>
  <si>
    <t>131</t>
  </si>
  <si>
    <t>2549</t>
  </si>
  <si>
    <t>COMUNICACAO E DIVULGACAO INSTITUCIONAL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</si>
  <si>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</si>
  <si>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</si>
  <si>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</si>
  <si>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</si>
  <si>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</si>
  <si>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</si>
  <si>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</si>
  <si>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</si>
  <si>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</si>
  <si>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2011</t>
  </si>
  <si>
    <t>AUXILIO-TRANSPORTE AOS SERVIDORES CIVIS, EMPREGADOS E MILITA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</si>
  <si>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</si>
  <si>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</si>
  <si>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</si>
  <si>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</si>
  <si>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</si>
  <si>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</si>
  <si>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</si>
  <si>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CONTRIBUICAO PLANO SEGURIDADE SOCIAL SERVIDOR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</si>
  <si>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</si>
  <si>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</si>
  <si>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</si>
  <si>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</si>
  <si>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</si>
  <si>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</si>
  <si>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</si>
  <si>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</si>
  <si>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</si>
  <si>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</si>
  <si>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</si>
  <si>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</si>
  <si>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</si>
  <si>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</si>
  <si>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</si>
  <si>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</si>
  <si>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</si>
  <si>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</si>
  <si>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</si>
  <si>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</si>
  <si>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</si>
  <si>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</si>
  <si>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</si>
  <si>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</si>
  <si>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</si>
  <si>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</si>
  <si>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</si>
  <si>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</si>
  <si>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</si>
  <si>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</si>
  <si>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</si>
  <si>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</si>
  <si>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</si>
  <si>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</si>
  <si>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</si>
  <si>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</si>
  <si>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</si>
  <si>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</si>
  <si>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090029 - TRIBUNAL REGIONAL FEDERAL DA 3ª REGIÃO</t>
  </si>
  <si>
    <t>PESSOAL ATIVO DA UNIAO</t>
  </si>
  <si>
    <t>AJUDA DE CUSTO PARA MORADIA OU AUXILIO-MORADIA A AGENTES PUB</t>
  </si>
  <si>
    <t>APOSENTADORIAS E PENSOES - SERVIDORES CIVIS</t>
  </si>
  <si>
    <t>DACO_ANEXOII_NOVO_FORMATO_UG_090029_55</t>
  </si>
  <si>
    <t>Páginas:</t>
  </si>
  <si>
    <t>RECURSOS DE CONVENIOS</t>
  </si>
  <si>
    <t>AQUISICAO DE IMOVEIS PARA FUNCIONAMENTO DO TRF3 DA 3. REGIAO</t>
  </si>
  <si>
    <t>216H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</si>
  <si>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</si>
  <si>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</si>
  <si>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</si>
  <si>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</si>
  <si>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</si>
  <si>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</si>
  <si>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Saldo Atual (Item Inf.)</t>
  </si>
  <si>
    <t>Tes. Gerencial</t>
  </si>
  <si>
    <t>12SU</t>
  </si>
  <si>
    <t>AQUISICAO DE EDIFICIO-ANEXO AO TRF 3. REGIAO EM SAO PAULO -</t>
  </si>
  <si>
    <t>0188</t>
  </si>
  <si>
    <t>REMUNERACAO DAS DISPONIB. DO TESOURO NACIONAL</t>
  </si>
  <si>
    <t>15HG</t>
  </si>
  <si>
    <t>15NZ</t>
  </si>
  <si>
    <t>846</t>
  </si>
  <si>
    <t>12101</t>
  </si>
  <si>
    <t>JUSTICA FEDERAL DE PRIMEIRO GRAU</t>
  </si>
  <si>
    <t>Mês Lançamento: AGO/2017</t>
  </si>
  <si>
    <t>Saldo (Moeda Origem Item Informação)</t>
  </si>
  <si>
    <t>Mês Lançamento: SET/2017</t>
  </si>
  <si>
    <t>CONOR</t>
  </si>
  <si>
    <t>PSet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</si>
  <si>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</si>
  <si>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</si>
  <si>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</si>
  <si>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</si>
  <si>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</si>
  <si>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 xml:space="preserve">CONOR </t>
  </si>
  <si>
    <t>Mês Lançamento: JAN/2018</t>
  </si>
  <si>
    <t>15PC</t>
  </si>
  <si>
    <t>212B</t>
  </si>
  <si>
    <t>BENEFICIOS OBRIGATORIOS AOS SERVIDORES CIVIS, EMPREGADOS, MI</t>
  </si>
  <si>
    <t>28</t>
  </si>
  <si>
    <t>0909</t>
  </si>
  <si>
    <t>OPERACOES ESPECIAIS: OUTROS ENCARGOS ESPECIAIS</t>
  </si>
  <si>
    <t>0536</t>
  </si>
  <si>
    <t>BENEFICIOS E PENSOES INDENIZATORIAS DECORRENTES DE LEGISLACA</t>
  </si>
  <si>
    <t>Mês Lançamento: FEV/2018</t>
  </si>
  <si>
    <t>Mês Lançamento: MAR/2018</t>
  </si>
  <si>
    <t>Mês Lançamento: ABR/2018</t>
  </si>
  <si>
    <t>Mês Lançamento: MAI/2018</t>
  </si>
  <si>
    <t>Mês Lançamento: JUN/2018</t>
  </si>
  <si>
    <t>Mês Lançamento: JUL/2018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</si>
</sst>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_-* #,##0.000_-;\-* #,##0.000_-;_-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8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103">
    <xf numFmtId="0" fontId="0" fillId="0" borderId="0" xfId="0"/>
    <xf numFmtId="4" fontId="0" fillId="0" borderId="0" xfId="0" applyNumberFormat="1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 applyAlignme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66" fontId="3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165" fontId="5" fillId="0" borderId="2" xfId="8" applyNumberFormat="1" applyFont="1" applyFill="1" applyBorder="1" applyAlignment="1">
      <alignment horizontal="center" vertical="center" wrapText="1"/>
    </xf>
    <xf numFmtId="165" fontId="5" fillId="0" borderId="4" xfId="8" applyNumberFormat="1" applyFont="1" applyFill="1" applyBorder="1" applyAlignment="1">
      <alignment horizontal="center" vertical="center" wrapText="1"/>
    </xf>
    <xf numFmtId="167" fontId="5" fillId="0" borderId="4" xfId="9" applyNumberFormat="1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165" fontId="5" fillId="0" borderId="9" xfId="8" applyNumberFormat="1" applyFont="1" applyFill="1" applyBorder="1" applyAlignment="1">
      <alignment horizontal="center" vertical="center" wrapText="1"/>
    </xf>
    <xf numFmtId="167" fontId="5" fillId="0" borderId="8" xfId="9" applyNumberFormat="1" applyFont="1" applyFill="1" applyBorder="1" applyAlignment="1">
      <alignment horizontal="center" vertical="center" wrapText="1"/>
    </xf>
    <xf numFmtId="0" fontId="3" fillId="0" borderId="10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vertical="center" wrapText="1"/>
    </xf>
    <xf numFmtId="0" fontId="3" fillId="0" borderId="10" xfId="2" applyNumberFormat="1" applyFont="1" applyFill="1" applyBorder="1" applyAlignment="1">
      <alignment vertical="center" wrapText="1"/>
    </xf>
    <xf numFmtId="167" fontId="3" fillId="0" borderId="1" xfId="9" applyNumberFormat="1" applyFont="1" applyBorder="1" applyAlignment="1">
      <alignment horizontal="right" vertical="center"/>
    </xf>
    <xf numFmtId="165" fontId="3" fillId="0" borderId="1" xfId="8" applyNumberFormat="1" applyFont="1" applyBorder="1" applyAlignment="1">
      <alignment horizontal="right" vertical="center"/>
    </xf>
    <xf numFmtId="0" fontId="3" fillId="0" borderId="12" xfId="2" applyNumberFormat="1" applyFont="1" applyFill="1" applyBorder="1" applyAlignment="1">
      <alignment horizontal="center" vertical="center" wrapText="1"/>
    </xf>
    <xf numFmtId="0" fontId="3" fillId="0" borderId="12" xfId="2" applyNumberFormat="1" applyFont="1" applyFill="1" applyBorder="1" applyAlignment="1">
      <alignment horizontal="left" vertical="center" wrapText="1"/>
    </xf>
    <xf numFmtId="0" fontId="3" fillId="0" borderId="13" xfId="2" applyNumberFormat="1" applyFont="1" applyFill="1" applyBorder="1" applyAlignment="1">
      <alignment horizontal="left" vertical="center" wrapText="1"/>
    </xf>
    <xf numFmtId="167" fontId="3" fillId="0" borderId="12" xfId="9" applyNumberFormat="1" applyFont="1" applyBorder="1" applyAlignment="1">
      <alignment horizontal="right" vertical="center"/>
    </xf>
    <xf numFmtId="165" fontId="3" fillId="0" borderId="12" xfId="8" applyNumberFormat="1" applyFont="1" applyBorder="1" applyAlignment="1">
      <alignment horizontal="right" vertical="center"/>
    </xf>
    <xf numFmtId="167" fontId="5" fillId="0" borderId="14" xfId="9" applyNumberFormat="1" applyFont="1" applyFill="1" applyBorder="1" applyAlignment="1">
      <alignment horizontal="center" vertical="center" wrapText="1"/>
    </xf>
    <xf numFmtId="40" fontId="0" fillId="0" borderId="0" xfId="0" applyNumberFormat="1" applyAlignment="1">
      <alignment shrinkToFit="1"/>
    </xf>
    <xf numFmtId="40" fontId="0" fillId="0" borderId="0" xfId="0" applyNumberFormat="1"/>
    <xf numFmtId="167" fontId="3" fillId="2" borderId="12" xfId="9" applyNumberFormat="1" applyFont="1" applyFill="1" applyBorder="1" applyAlignment="1">
      <alignment horizontal="right" vertical="center"/>
    </xf>
    <xf numFmtId="0" fontId="0" fillId="0" borderId="0" xfId="0" applyFill="1" applyAlignment="1">
      <alignment shrinkToFit="1"/>
    </xf>
    <xf numFmtId="4" fontId="0" fillId="0" borderId="0" xfId="0" applyNumberFormat="1" applyFill="1" applyAlignment="1">
      <alignment shrinkToFit="1"/>
    </xf>
    <xf numFmtId="10" fontId="0" fillId="0" borderId="0" xfId="0" applyNumberFormat="1" applyFill="1" applyAlignment="1">
      <alignment shrinkToFit="1"/>
    </xf>
    <xf numFmtId="165" fontId="3" fillId="0" borderId="14" xfId="5" applyNumberFormat="1" applyFont="1" applyFill="1" applyBorder="1" applyAlignment="1">
      <alignment horizontal="right" vertical="center" wrapText="1"/>
    </xf>
    <xf numFmtId="9" fontId="3" fillId="0" borderId="1" xfId="5" applyFont="1" applyBorder="1" applyAlignment="1">
      <alignment horizontal="right" vertical="center"/>
    </xf>
    <xf numFmtId="165" fontId="3" fillId="0" borderId="0" xfId="7" applyNumberFormat="1" applyFont="1" applyBorder="1" applyAlignment="1">
      <alignment horizontal="center"/>
    </xf>
    <xf numFmtId="0" fontId="10" fillId="0" borderId="0" xfId="0" applyFont="1" applyAlignment="1"/>
    <xf numFmtId="167" fontId="5" fillId="0" borderId="10" xfId="9" applyNumberFormat="1" applyFont="1" applyBorder="1" applyAlignment="1">
      <alignment horizontal="right" vertical="center"/>
    </xf>
    <xf numFmtId="167" fontId="5" fillId="0" borderId="1" xfId="9" applyNumberFormat="1" applyFont="1" applyBorder="1" applyAlignment="1">
      <alignment horizontal="right" vertical="center"/>
    </xf>
    <xf numFmtId="167" fontId="5" fillId="0" borderId="15" xfId="9" applyNumberFormat="1" applyFont="1" applyBorder="1" applyAlignment="1">
      <alignment horizontal="right" vertical="center"/>
    </xf>
    <xf numFmtId="167" fontId="5" fillId="0" borderId="12" xfId="9" applyNumberFormat="1" applyFont="1" applyBorder="1" applyAlignment="1">
      <alignment horizontal="right" vertical="center"/>
    </xf>
    <xf numFmtId="167" fontId="5" fillId="0" borderId="13" xfId="9" applyNumberFormat="1" applyFont="1" applyBorder="1" applyAlignment="1">
      <alignment horizontal="right" vertical="center"/>
    </xf>
    <xf numFmtId="167" fontId="3" fillId="0" borderId="14" xfId="9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40" fontId="7" fillId="0" borderId="0" xfId="0" applyNumberFormat="1" applyFont="1" applyAlignment="1">
      <alignment shrinkToFit="1"/>
    </xf>
    <xf numFmtId="167" fontId="3" fillId="2" borderId="1" xfId="9" applyNumberFormat="1" applyFont="1" applyFill="1" applyBorder="1" applyAlignment="1">
      <alignment horizontal="right" vertical="center"/>
    </xf>
    <xf numFmtId="164" fontId="0" fillId="0" borderId="0" xfId="0" applyNumberFormat="1"/>
    <xf numFmtId="165" fontId="3" fillId="0" borderId="1" xfId="5" applyNumberFormat="1" applyFont="1" applyBorder="1" applyAlignment="1">
      <alignment horizontal="right" vertical="center"/>
    </xf>
    <xf numFmtId="165" fontId="0" fillId="0" borderId="0" xfId="5" applyNumberFormat="1" applyFont="1" applyFill="1"/>
    <xf numFmtId="0" fontId="0" fillId="0" borderId="0" xfId="0"/>
    <xf numFmtId="0" fontId="0" fillId="0" borderId="0" xfId="0"/>
    <xf numFmtId="43" fontId="0" fillId="0" borderId="0" xfId="11" applyFont="1" applyFill="1" applyAlignment="1">
      <alignment shrinkToFit="1"/>
    </xf>
    <xf numFmtId="43" fontId="0" fillId="0" borderId="0" xfId="0" applyNumberFormat="1" applyFill="1"/>
    <xf numFmtId="0" fontId="12" fillId="0" borderId="0" xfId="12"/>
    <xf numFmtId="164" fontId="12" fillId="0" borderId="0" xfId="12" applyNumberFormat="1" applyAlignment="1"/>
    <xf numFmtId="0" fontId="0" fillId="0" borderId="0" xfId="0"/>
    <xf numFmtId="0" fontId="0" fillId="0" borderId="0" xfId="0"/>
    <xf numFmtId="43" fontId="0" fillId="0" borderId="0" xfId="11" applyFont="1" applyFill="1"/>
    <xf numFmtId="0" fontId="0" fillId="0" borderId="0" xfId="0"/>
    <xf numFmtId="168" fontId="0" fillId="0" borderId="0" xfId="11" applyNumberFormat="1" applyFont="1" applyFill="1"/>
    <xf numFmtId="0" fontId="0" fillId="0" borderId="0" xfId="0"/>
    <xf numFmtId="40" fontId="0" fillId="0" borderId="0" xfId="0" applyNumberFormat="1" applyFill="1"/>
    <xf numFmtId="40" fontId="0" fillId="0" borderId="0" xfId="11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Border="1" applyAlignment="1">
      <alignment vertical="center"/>
    </xf>
    <xf numFmtId="0" fontId="5" fillId="0" borderId="20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0" fillId="0" borderId="0" xfId="0"/>
    <xf numFmtId="0" fontId="12" fillId="0" borderId="0" xfId="12"/>
  </cellXfs>
  <cellStyles count="13">
    <cellStyle name="Normal" xfId="0" builtinId="0"/>
    <cellStyle name="Normal 2" xfId="1"/>
    <cellStyle name="Normal 2 8" xfId="2"/>
    <cellStyle name="Normal 3" xfId="3"/>
    <cellStyle name="Normal 4" xfId="4"/>
    <cellStyle name="Normal 5" xfId="12"/>
    <cellStyle name="Porcentagem" xfId="5" builtinId="5"/>
    <cellStyle name="Porcentagem 11" xfId="6"/>
    <cellStyle name="Porcentagem 11 2" xfId="7"/>
    <cellStyle name="Porcentagem 2" xfId="8"/>
    <cellStyle name="Vírgula" xfId="11" builtinId="3"/>
    <cellStyle name="Vírgula 2" xfId="9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showGridLines="0" view="pageBreakPreview" topLeftCell="G13" zoomScale="85" zoomScaleNormal="70" zoomScaleSheetLayoutView="85" workbookViewId="0">
      <selection activeCell="N31" sqref="N31:Y37"/>
    </sheetView>
  </sheetViews>
  <sheetFormatPr defaultRowHeight="25.5" customHeight="1" x14ac:dyDescent="0.2"/>
  <cols>
    <col min="1" max="1" width="16.71093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4.140625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140625" style="3" customWidth="1"/>
    <col min="17" max="17" width="11" style="1" customWidth="1"/>
    <col min="18" max="18" width="22" style="3" customWidth="1"/>
    <col min="19" max="19" width="21.42578125" style="1" customWidth="1"/>
    <col min="20" max="20" width="17.140625" style="3" customWidth="1"/>
    <col min="21" max="21" width="19.7109375" style="4" customWidth="1"/>
    <col min="22" max="22" width="9.28515625" style="4" bestFit="1" customWidth="1"/>
    <col min="23" max="23" width="18.5703125" style="4" customWidth="1"/>
    <col min="24" max="24" width="9.28515625" style="4" bestFit="1" customWidth="1"/>
    <col min="25" max="16384" width="9.140625" style="4"/>
  </cols>
  <sheetData>
    <row r="1" spans="1:26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6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6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6" ht="25.5" customHeight="1" x14ac:dyDescent="0.2">
      <c r="A4" s="9" t="s">
        <v>83</v>
      </c>
      <c r="B4" s="10">
        <v>43101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6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6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6" ht="26.2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6" ht="26.2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6" ht="26.2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6" ht="26.25" customHeight="1" x14ac:dyDescent="0.2">
      <c r="A10" s="24" t="str">
        <f>+'Access-Jan'!A9</f>
        <v>12104</v>
      </c>
      <c r="B10" s="25" t="str">
        <f>+'Access-Jan'!B9</f>
        <v>TRIBUNAL REGIONAL FEDERAL DA 3A. REGIAO</v>
      </c>
      <c r="C10" s="26" t="str">
        <f>CONCATENATE('Access-Jan'!C9,".",'Access-Jan'!D9)</f>
        <v>02.061</v>
      </c>
      <c r="D10" s="26" t="str">
        <f>CONCATENATE('Access-Jan'!E9,".",'Access-Jan'!G9)</f>
        <v>0569.4224</v>
      </c>
      <c r="E10" s="25" t="str">
        <f>+'Access-Jan'!F9</f>
        <v>PRESTACAO JURISDICIONAL NA JUSTICA FEDERAL</v>
      </c>
      <c r="F10" s="27" t="str">
        <f>+'Access-Jan'!H9</f>
        <v>ASSISTENCIA JURIDICA A PESSOAS CARENTES</v>
      </c>
      <c r="G10" s="24" t="str">
        <f>IF('Access-Jan'!I9="1","F","S")</f>
        <v>F</v>
      </c>
      <c r="H10" s="24" t="str">
        <f>+'Access-Jan'!J9</f>
        <v>0100</v>
      </c>
      <c r="I10" s="28" t="str">
        <f>+'Access-Jan'!K9</f>
        <v>RECURSOS ORDINARIOS</v>
      </c>
      <c r="J10" s="24" t="str">
        <f>+'Access-Jan'!L9</f>
        <v>3</v>
      </c>
      <c r="K10" s="47"/>
      <c r="L10" s="48"/>
      <c r="M10" s="48"/>
      <c r="N10" s="49">
        <f>+K10+L10-M10</f>
        <v>0</v>
      </c>
      <c r="O10" s="47"/>
      <c r="P10" s="29">
        <f>'Access-Jan'!M9</f>
        <v>15000</v>
      </c>
      <c r="Q10" s="29"/>
      <c r="R10" s="29">
        <f>N10-O10+P10</f>
        <v>15000</v>
      </c>
      <c r="S10" s="29">
        <f>'Access-Jan'!N9</f>
        <v>0</v>
      </c>
      <c r="T10" s="57">
        <f>IF(R10&gt;0,S10/R10,0)</f>
        <v>0</v>
      </c>
      <c r="U10" s="29">
        <f>'Access-Jan'!O9</f>
        <v>0</v>
      </c>
      <c r="V10" s="30">
        <f>IF(R10&gt;0,U10/R10,0)</f>
        <v>0</v>
      </c>
      <c r="W10" s="29">
        <f>'Access-Jan'!P9</f>
        <v>0</v>
      </c>
      <c r="X10" s="30">
        <f>IF(R10&gt;0,W10/R10,0)</f>
        <v>0</v>
      </c>
      <c r="Z10" s="58"/>
    </row>
    <row r="11" spans="1:26" ht="26.25" customHeight="1" x14ac:dyDescent="0.2">
      <c r="A11" s="31" t="str">
        <f>+'Access-Jan'!A10</f>
        <v>12104</v>
      </c>
      <c r="B11" s="32" t="str">
        <f>+'Access-Jan'!B10</f>
        <v>TRIBUNAL REGIONAL FEDERAL DA 3A. REGIAO</v>
      </c>
      <c r="C11" s="31" t="str">
        <f>CONCATENATE('Access-Jan'!C10,".",'Access-Jan'!D10)</f>
        <v>02.061</v>
      </c>
      <c r="D11" s="31" t="str">
        <f>CONCATENATE('Access-Jan'!E10,".",'Access-Jan'!G10)</f>
        <v>0569.4257</v>
      </c>
      <c r="E11" s="32" t="str">
        <f>+'Access-Jan'!F10</f>
        <v>PRESTACAO JURISDICIONAL NA JUSTICA FEDERAL</v>
      </c>
      <c r="F11" s="33" t="str">
        <f>+'Access-Jan'!H10</f>
        <v>JULGAMENTO DE CAUSAS NA JUSTICA FEDERAL</v>
      </c>
      <c r="G11" s="31" t="str">
        <f>IF('Access-Jan'!I10="1","F","S")</f>
        <v>F</v>
      </c>
      <c r="H11" s="31" t="str">
        <f>+'Access-Jan'!J10</f>
        <v>0100</v>
      </c>
      <c r="I11" s="32" t="str">
        <f>+'Access-Jan'!K10</f>
        <v>RECURSOS ORDINARIOS</v>
      </c>
      <c r="J11" s="31" t="str">
        <f>+'Access-Jan'!L10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'Access-Jan'!M10</f>
        <v>3362304</v>
      </c>
      <c r="Q11" s="34"/>
      <c r="R11" s="34">
        <f t="shared" ref="R11:R27" si="1">N11-O11+P11</f>
        <v>3362304</v>
      </c>
      <c r="S11" s="34">
        <f>'Access-Jan'!N10</f>
        <v>0</v>
      </c>
      <c r="T11" s="35">
        <f t="shared" ref="T11:T28" si="2">IF(R11&gt;0,S11/R11,0)</f>
        <v>0</v>
      </c>
      <c r="U11" s="34">
        <f>'Access-Jan'!O10</f>
        <v>0</v>
      </c>
      <c r="V11" s="35">
        <f t="shared" ref="V11:V28" si="3">IF(R11&gt;0,U11/R11,0)</f>
        <v>0</v>
      </c>
      <c r="W11" s="34">
        <f>'Access-Jan'!P10</f>
        <v>0</v>
      </c>
      <c r="X11" s="35">
        <f t="shared" ref="X11:X28" si="4">IF(R11&gt;0,W11/R11,0)</f>
        <v>0</v>
      </c>
      <c r="Z11" s="58"/>
    </row>
    <row r="12" spans="1:26" ht="26.25" customHeight="1" x14ac:dyDescent="0.2">
      <c r="A12" s="31" t="str">
        <f>+'Access-Jan'!A11</f>
        <v>12104</v>
      </c>
      <c r="B12" s="32" t="str">
        <f>+'Access-Jan'!B11</f>
        <v>TRIBUNAL REGIONAL FEDERAL DA 3A. REGIAO</v>
      </c>
      <c r="C12" s="31" t="str">
        <f>CONCATENATE('Access-Jan'!C11,".",'Access-Jan'!D11)</f>
        <v>02.061</v>
      </c>
      <c r="D12" s="31" t="str">
        <f>CONCATENATE('Access-Jan'!E11,".",'Access-Jan'!G11)</f>
        <v>0569.4257</v>
      </c>
      <c r="E12" s="32" t="str">
        <f>+'Access-Jan'!F11</f>
        <v>PRESTACAO JURISDICIONAL NA JUSTICA FEDERAL</v>
      </c>
      <c r="F12" s="32" t="str">
        <f>+'Access-Jan'!H11</f>
        <v>JULGAMENTO DE CAUSAS NA JUSTICA FEDERAL</v>
      </c>
      <c r="G12" s="31" t="str">
        <f>IF('Access-Jan'!I11="1","F","S")</f>
        <v>F</v>
      </c>
      <c r="H12" s="31" t="str">
        <f>+'Access-Jan'!J11</f>
        <v>0100</v>
      </c>
      <c r="I12" s="32" t="str">
        <f>+'Access-Jan'!K11</f>
        <v>RECURSOS ORDINARIOS</v>
      </c>
      <c r="J12" s="31" t="str">
        <f>+'Access-Jan'!L11</f>
        <v>3</v>
      </c>
      <c r="K12" s="34"/>
      <c r="L12" s="34"/>
      <c r="M12" s="34"/>
      <c r="N12" s="50">
        <f t="shared" si="0"/>
        <v>0</v>
      </c>
      <c r="O12" s="34"/>
      <c r="P12" s="34">
        <f>'Access-Jan'!M11</f>
        <v>53186985</v>
      </c>
      <c r="Q12" s="34"/>
      <c r="R12" s="34">
        <f t="shared" si="1"/>
        <v>53186985</v>
      </c>
      <c r="S12" s="39">
        <f>'Access-Jan'!N11</f>
        <v>32244643.350000001</v>
      </c>
      <c r="T12" s="35">
        <f t="shared" si="2"/>
        <v>0.60625063349614572</v>
      </c>
      <c r="U12" s="34">
        <f>'Access-Jan'!O11</f>
        <v>231843.34</v>
      </c>
      <c r="V12" s="35">
        <f t="shared" si="3"/>
        <v>4.3590239228638358E-3</v>
      </c>
      <c r="W12" s="34">
        <f>'Access-Jan'!P11</f>
        <v>168388.8</v>
      </c>
      <c r="X12" s="35">
        <f t="shared" si="4"/>
        <v>3.1659775413101529E-3</v>
      </c>
      <c r="Z12" s="58"/>
    </row>
    <row r="13" spans="1:26" ht="26.25" customHeight="1" x14ac:dyDescent="0.2">
      <c r="A13" s="31" t="str">
        <f>+'Access-Jan'!A12</f>
        <v>12104</v>
      </c>
      <c r="B13" s="32" t="str">
        <f>+'Access-Jan'!B12</f>
        <v>TRIBUNAL REGIONAL FEDERAL DA 3A. REGIAO</v>
      </c>
      <c r="C13" s="31" t="str">
        <f>CONCATENATE('Access-Jan'!C12,".",'Access-Jan'!D12)</f>
        <v>02.061</v>
      </c>
      <c r="D13" s="31" t="str">
        <f>CONCATENATE('Access-Jan'!E12,".",'Access-Jan'!G12)</f>
        <v>0569.4257</v>
      </c>
      <c r="E13" s="32" t="str">
        <f>+'Access-Jan'!F12</f>
        <v>PRESTACAO JURISDICIONAL NA JUSTICA FEDERAL</v>
      </c>
      <c r="F13" s="32" t="str">
        <f>+'Access-Jan'!H12</f>
        <v>JULGAMENTO DE CAUSAS NA JUSTICA FEDERAL</v>
      </c>
      <c r="G13" s="31" t="str">
        <f>IF('Access-Jan'!I12="1","F","S")</f>
        <v>F</v>
      </c>
      <c r="H13" s="31" t="str">
        <f>+'Access-Jan'!J12</f>
        <v>0127</v>
      </c>
      <c r="I13" s="32" t="str">
        <f>+'Access-Jan'!K12</f>
        <v>CUSTAS E EMOLUMENTOS - PODER JUDICIARIO</v>
      </c>
      <c r="J13" s="31" t="str">
        <f>+'Access-Jan'!L12</f>
        <v>3</v>
      </c>
      <c r="K13" s="34"/>
      <c r="L13" s="34"/>
      <c r="M13" s="34"/>
      <c r="N13" s="50">
        <f t="shared" si="0"/>
        <v>0</v>
      </c>
      <c r="O13" s="34"/>
      <c r="P13" s="34">
        <f>'Access-Jan'!M12</f>
        <v>7243081</v>
      </c>
      <c r="Q13" s="34"/>
      <c r="R13" s="34">
        <f t="shared" si="1"/>
        <v>7243081</v>
      </c>
      <c r="S13" s="39">
        <f>'Access-Jan'!N12</f>
        <v>7159159.6799999997</v>
      </c>
      <c r="T13" s="35">
        <f t="shared" si="2"/>
        <v>0.98841358808495994</v>
      </c>
      <c r="U13" s="34">
        <f>'Access-Jan'!O12</f>
        <v>559580.74</v>
      </c>
      <c r="V13" s="35">
        <f t="shared" si="3"/>
        <v>7.7257280430800102E-2</v>
      </c>
      <c r="W13" s="34">
        <f>'Access-Jan'!P12</f>
        <v>253308.88</v>
      </c>
      <c r="X13" s="35">
        <f t="shared" si="4"/>
        <v>3.4972531716820507E-2</v>
      </c>
      <c r="Z13" s="58"/>
    </row>
    <row r="14" spans="1:26" ht="26.25" customHeight="1" x14ac:dyDescent="0.2">
      <c r="A14" s="31" t="str">
        <f>+'Access-Jan'!A13</f>
        <v>12104</v>
      </c>
      <c r="B14" s="32" t="str">
        <f>+'Access-Jan'!B13</f>
        <v>TRIBUNAL REGIONAL FEDERAL DA 3A. REGIAO</v>
      </c>
      <c r="C14" s="31" t="str">
        <f>CONCATENATE('Access-Jan'!C13,".",'Access-Jan'!D13)</f>
        <v>02.061</v>
      </c>
      <c r="D14" s="31" t="str">
        <f>CONCATENATE('Access-Jan'!E13,".",'Access-Jan'!G13)</f>
        <v>0569.4257</v>
      </c>
      <c r="E14" s="32" t="str">
        <f>+'Access-Jan'!F13</f>
        <v>PRESTACAO JURISDICIONAL NA JUSTICA FEDERAL</v>
      </c>
      <c r="F14" s="32" t="str">
        <f>+'Access-Jan'!H13</f>
        <v>JULGAMENTO DE CAUSAS NA JUSTICA FEDERAL</v>
      </c>
      <c r="G14" s="31" t="str">
        <f>IF('Access-Jan'!I13="1","F","S")</f>
        <v>F</v>
      </c>
      <c r="H14" s="31" t="str">
        <f>+'Access-Jan'!J13</f>
        <v>0181</v>
      </c>
      <c r="I14" s="32" t="str">
        <f>+'Access-Jan'!K13</f>
        <v>RECURSOS DE CONVENIOS</v>
      </c>
      <c r="J14" s="31" t="str">
        <f>+'Access-Jan'!L13</f>
        <v>4</v>
      </c>
      <c r="K14" s="34"/>
      <c r="L14" s="34"/>
      <c r="M14" s="34"/>
      <c r="N14" s="50">
        <f t="shared" si="0"/>
        <v>0</v>
      </c>
      <c r="O14" s="34"/>
      <c r="P14" s="34">
        <f>'Access-Jan'!M13</f>
        <v>3394236</v>
      </c>
      <c r="Q14" s="34"/>
      <c r="R14" s="34">
        <f t="shared" si="1"/>
        <v>3394236</v>
      </c>
      <c r="S14" s="39">
        <f>'Access-Jan'!N13</f>
        <v>0</v>
      </c>
      <c r="T14" s="35">
        <f t="shared" si="2"/>
        <v>0</v>
      </c>
      <c r="U14" s="34">
        <f>'Access-Jan'!O13</f>
        <v>0</v>
      </c>
      <c r="V14" s="35">
        <f t="shared" si="3"/>
        <v>0</v>
      </c>
      <c r="W14" s="34">
        <f>'Access-Jan'!P13</f>
        <v>0</v>
      </c>
      <c r="X14" s="35">
        <f t="shared" si="4"/>
        <v>0</v>
      </c>
      <c r="Z14" s="58"/>
    </row>
    <row r="15" spans="1:26" ht="26.25" customHeight="1" x14ac:dyDescent="0.2">
      <c r="A15" s="31" t="str">
        <f>+'Access-Jan'!A14</f>
        <v>12104</v>
      </c>
      <c r="B15" s="32" t="str">
        <f>+'Access-Jan'!B14</f>
        <v>TRIBUNAL REGIONAL FEDERAL DA 3A. REGIAO</v>
      </c>
      <c r="C15" s="31" t="str">
        <f>CONCATENATE('Access-Jan'!C14,".",'Access-Jan'!D14)</f>
        <v>02.122</v>
      </c>
      <c r="D15" s="31" t="str">
        <f>CONCATENATE('Access-Jan'!E14,".",'Access-Jan'!G14)</f>
        <v>0569.15NZ</v>
      </c>
      <c r="E15" s="32" t="str">
        <f>+'Access-Jan'!F14</f>
        <v>PRESTACAO JURISDICIONAL NA JUSTICA FEDERAL</v>
      </c>
      <c r="F15" s="32" t="str">
        <f>+'Access-Jan'!H14</f>
        <v>REFORMA DO EDIFICIO-SEDE DO TRIBUNAL REGIONAL FEDERAL DA 3.</v>
      </c>
      <c r="G15" s="31" t="str">
        <f>IF('Access-Jan'!I14="1","F","S")</f>
        <v>F</v>
      </c>
      <c r="H15" s="31" t="str">
        <f>+'Access-Jan'!J14</f>
        <v>0100</v>
      </c>
      <c r="I15" s="32" t="str">
        <f>+'Access-Jan'!K14</f>
        <v>RECURSOS ORDINARIOS</v>
      </c>
      <c r="J15" s="31" t="str">
        <f>+'Access-Jan'!L14</f>
        <v>4</v>
      </c>
      <c r="K15" s="50"/>
      <c r="L15" s="50"/>
      <c r="M15" s="50"/>
      <c r="N15" s="50">
        <f t="shared" si="0"/>
        <v>0</v>
      </c>
      <c r="O15" s="50"/>
      <c r="P15" s="34">
        <f>'Access-Jan'!M14</f>
        <v>7000000</v>
      </c>
      <c r="Q15" s="34"/>
      <c r="R15" s="34">
        <f t="shared" si="1"/>
        <v>7000000</v>
      </c>
      <c r="S15" s="39">
        <f>'Access-Jan'!N14</f>
        <v>0</v>
      </c>
      <c r="T15" s="35">
        <f t="shared" si="2"/>
        <v>0</v>
      </c>
      <c r="U15" s="34">
        <f>'Access-Jan'!O14</f>
        <v>0</v>
      </c>
      <c r="V15" s="35">
        <f t="shared" si="3"/>
        <v>0</v>
      </c>
      <c r="W15" s="34">
        <f>'Access-Jan'!P14</f>
        <v>0</v>
      </c>
      <c r="X15" s="35">
        <f t="shared" si="4"/>
        <v>0</v>
      </c>
    </row>
    <row r="16" spans="1:26" ht="26.25" customHeight="1" x14ac:dyDescent="0.2">
      <c r="A16" s="31" t="str">
        <f>+'Access-Jan'!A15</f>
        <v>12104</v>
      </c>
      <c r="B16" s="32" t="str">
        <f>+'Access-Jan'!B15</f>
        <v>TRIBUNAL REGIONAL FEDERAL DA 3A. REGIAO</v>
      </c>
      <c r="C16" s="31" t="str">
        <f>CONCATENATE('Access-Jan'!C15,".",'Access-Jan'!D15)</f>
        <v>02.122</v>
      </c>
      <c r="D16" s="31" t="str">
        <f>CONCATENATE('Access-Jan'!E15,".",'Access-Jan'!G15)</f>
        <v>0569.15PC</v>
      </c>
      <c r="E16" s="32" t="str">
        <f>+'Access-Jan'!F15</f>
        <v>PRESTACAO JURISDICIONAL NA JUSTICA FEDERAL</v>
      </c>
      <c r="F16" s="32" t="str">
        <f>+'Access-Jan'!H15</f>
        <v>AQUISICAO DE IMOVEIS PARA FUNCIONAMENTO DO TRF3 DA 3. REGIAO</v>
      </c>
      <c r="G16" s="31" t="str">
        <f>IF('Access-Jan'!I15="1","F","S")</f>
        <v>F</v>
      </c>
      <c r="H16" s="31" t="str">
        <f>+'Access-Jan'!J15</f>
        <v>0181</v>
      </c>
      <c r="I16" s="32" t="str">
        <f>+'Access-Jan'!K15</f>
        <v>RECURSOS DE CONVENIOS</v>
      </c>
      <c r="J16" s="31" t="str">
        <f>+'Access-Jan'!L15</f>
        <v>5</v>
      </c>
      <c r="K16" s="34"/>
      <c r="L16" s="34"/>
      <c r="M16" s="34"/>
      <c r="N16" s="50">
        <f t="shared" si="0"/>
        <v>0</v>
      </c>
      <c r="O16" s="34"/>
      <c r="P16" s="34">
        <f>'Access-Jan'!M15</f>
        <v>9000000</v>
      </c>
      <c r="Q16" s="34"/>
      <c r="R16" s="34">
        <f t="shared" si="1"/>
        <v>9000000</v>
      </c>
      <c r="S16" s="39">
        <f>'Access-Jan'!N15</f>
        <v>0</v>
      </c>
      <c r="T16" s="35">
        <f t="shared" si="2"/>
        <v>0</v>
      </c>
      <c r="U16" s="34">
        <f>'Access-Jan'!O15</f>
        <v>0</v>
      </c>
      <c r="V16" s="35">
        <f t="shared" si="3"/>
        <v>0</v>
      </c>
      <c r="W16" s="34">
        <f>'Access-Jan'!P15</f>
        <v>0</v>
      </c>
      <c r="X16" s="35">
        <f t="shared" si="4"/>
        <v>0</v>
      </c>
    </row>
    <row r="17" spans="1:24" ht="26.25" customHeight="1" x14ac:dyDescent="0.2">
      <c r="A17" s="31" t="str">
        <f>+'Access-Jan'!A16</f>
        <v>12104</v>
      </c>
      <c r="B17" s="32" t="str">
        <f>+'Access-Jan'!B16</f>
        <v>TRIBUNAL REGIONAL FEDERAL DA 3A. REGIAO</v>
      </c>
      <c r="C17" s="31" t="str">
        <f>CONCATENATE('Access-Jan'!C16,".",'Access-Jan'!D16)</f>
        <v>02.122</v>
      </c>
      <c r="D17" s="31" t="str">
        <f>CONCATENATE('Access-Jan'!E16,".",'Access-Jan'!G16)</f>
        <v>0569.20TP</v>
      </c>
      <c r="E17" s="32" t="str">
        <f>+'Access-Jan'!F16</f>
        <v>PRESTACAO JURISDICIONAL NA JUSTICA FEDERAL</v>
      </c>
      <c r="F17" s="32" t="str">
        <f>+'Access-Jan'!H16</f>
        <v>ATIVOS CIVIS DA UNIAO</v>
      </c>
      <c r="G17" s="31" t="str">
        <f>IF('Access-Jan'!I16="1","F","S")</f>
        <v>F</v>
      </c>
      <c r="H17" s="31" t="str">
        <f>+'Access-Jan'!J16</f>
        <v>0100</v>
      </c>
      <c r="I17" s="32" t="str">
        <f>+'Access-Jan'!K16</f>
        <v>RECURSOS ORDINARIOS</v>
      </c>
      <c r="J17" s="31" t="str">
        <f>+'Access-Jan'!L16</f>
        <v>1</v>
      </c>
      <c r="K17" s="34"/>
      <c r="L17" s="34"/>
      <c r="M17" s="34"/>
      <c r="N17" s="50">
        <f t="shared" si="0"/>
        <v>0</v>
      </c>
      <c r="O17" s="34"/>
      <c r="P17" s="34">
        <f>'Access-Jan'!M16</f>
        <v>45719784.020000003</v>
      </c>
      <c r="Q17" s="34"/>
      <c r="R17" s="34">
        <f t="shared" si="1"/>
        <v>45719784.020000003</v>
      </c>
      <c r="S17" s="39">
        <f>'Access-Jan'!N16</f>
        <v>45101266.25</v>
      </c>
      <c r="T17" s="35">
        <f t="shared" si="2"/>
        <v>0.9864715509213815</v>
      </c>
      <c r="U17" s="34">
        <f>'Access-Jan'!O16</f>
        <v>45100894.189999998</v>
      </c>
      <c r="V17" s="35">
        <f t="shared" si="3"/>
        <v>0.98646341308766305</v>
      </c>
      <c r="W17" s="34">
        <f>'Access-Jan'!P16</f>
        <v>43415116.210000001</v>
      </c>
      <c r="X17" s="35">
        <f t="shared" si="4"/>
        <v>0.94959145456610572</v>
      </c>
    </row>
    <row r="18" spans="1:24" ht="26.25" customHeight="1" x14ac:dyDescent="0.2">
      <c r="A18" s="31" t="str">
        <f>+'Access-Jan'!A17</f>
        <v>12104</v>
      </c>
      <c r="B18" s="32" t="str">
        <f>+'Access-Jan'!B17</f>
        <v>TRIBUNAL REGIONAL FEDERAL DA 3A. REGIAO</v>
      </c>
      <c r="C18" s="31" t="str">
        <f>CONCATENATE('Access-Jan'!C17,".",'Access-Jan'!D17)</f>
        <v>02.122</v>
      </c>
      <c r="D18" s="31" t="str">
        <f>CONCATENATE('Access-Jan'!E17,".",'Access-Jan'!G17)</f>
        <v>0569.216H</v>
      </c>
      <c r="E18" s="32" t="str">
        <f>+'Access-Jan'!F17</f>
        <v>PRESTACAO JURISDICIONAL NA JUSTICA FEDERAL</v>
      </c>
      <c r="F18" s="32" t="str">
        <f>+'Access-Jan'!H17</f>
        <v>AJUDA DE CUSTO PARA MORADIA OU AUXILIO-MORADIA A AGENTES PUB</v>
      </c>
      <c r="G18" s="31" t="str">
        <f>IF('Access-Jan'!I17="1","F","S")</f>
        <v>F</v>
      </c>
      <c r="H18" s="31" t="str">
        <f>+'Access-Jan'!J17</f>
        <v>0100</v>
      </c>
      <c r="I18" s="32" t="str">
        <f>+'Access-Jan'!K17</f>
        <v>RECURSOS ORDINARIOS</v>
      </c>
      <c r="J18" s="31" t="str">
        <f>+'Access-Jan'!L17</f>
        <v>3</v>
      </c>
      <c r="K18" s="50"/>
      <c r="L18" s="50"/>
      <c r="M18" s="50"/>
      <c r="N18" s="50">
        <f t="shared" si="0"/>
        <v>0</v>
      </c>
      <c r="O18" s="50"/>
      <c r="P18" s="34">
        <f>'Access-Jan'!M17</f>
        <v>2442858</v>
      </c>
      <c r="Q18" s="34"/>
      <c r="R18" s="34">
        <f t="shared" si="1"/>
        <v>2442858</v>
      </c>
      <c r="S18" s="39">
        <f>'Access-Jan'!N17</f>
        <v>186971.94</v>
      </c>
      <c r="T18" s="35">
        <f t="shared" si="2"/>
        <v>7.6538194197124848E-2</v>
      </c>
      <c r="U18" s="34">
        <f>'Access-Jan'!O17</f>
        <v>186971.94</v>
      </c>
      <c r="V18" s="35">
        <f t="shared" si="3"/>
        <v>7.6538194197124848E-2</v>
      </c>
      <c r="W18" s="34">
        <f>'Access-Jan'!P17</f>
        <v>186971.94</v>
      </c>
      <c r="X18" s="35">
        <f t="shared" si="4"/>
        <v>7.6538194197124848E-2</v>
      </c>
    </row>
    <row r="19" spans="1:24" ht="26.25" customHeight="1" x14ac:dyDescent="0.2">
      <c r="A19" s="31" t="str">
        <f>+'Access-Jan'!A18</f>
        <v>12104</v>
      </c>
      <c r="B19" s="32" t="str">
        <f>+'Access-Jan'!B18</f>
        <v>TRIBUNAL REGIONAL FEDERAL DA 3A. REGIAO</v>
      </c>
      <c r="C19" s="31" t="str">
        <f>CONCATENATE('Access-Jan'!C18,".",'Access-Jan'!D18)</f>
        <v>02.126</v>
      </c>
      <c r="D19" s="31" t="str">
        <f>CONCATENATE('Access-Jan'!E18,".",'Access-Jan'!G18)</f>
        <v>0569.151W</v>
      </c>
      <c r="E19" s="32" t="str">
        <f>+'Access-Jan'!F18</f>
        <v>PRESTACAO JURISDICIONAL NA JUSTICA FEDERAL</v>
      </c>
      <c r="F19" s="32" t="str">
        <f>+'Access-Jan'!H18</f>
        <v>DESENVOLVIMENTO E IMPLANTACAO DO SISTEMA PROCESSO JUDICIAL E</v>
      </c>
      <c r="G19" s="31" t="str">
        <f>IF('Access-Jan'!I18="1","F","S")</f>
        <v>F</v>
      </c>
      <c r="H19" s="31" t="str">
        <f>+'Access-Jan'!J18</f>
        <v>0100</v>
      </c>
      <c r="I19" s="32" t="str">
        <f>+'Access-Jan'!K18</f>
        <v>RECURSOS ORDINARIOS</v>
      </c>
      <c r="J19" s="31" t="str">
        <f>+'Access-Jan'!L18</f>
        <v>4</v>
      </c>
      <c r="K19" s="50"/>
      <c r="L19" s="50"/>
      <c r="M19" s="50"/>
      <c r="N19" s="50">
        <f t="shared" si="0"/>
        <v>0</v>
      </c>
      <c r="O19" s="50"/>
      <c r="P19" s="34">
        <f>'Access-Jan'!M18</f>
        <v>658450</v>
      </c>
      <c r="Q19" s="34"/>
      <c r="R19" s="34">
        <f t="shared" si="1"/>
        <v>658450</v>
      </c>
      <c r="S19" s="39">
        <f>'Access-Jan'!N18</f>
        <v>0</v>
      </c>
      <c r="T19" s="35">
        <f t="shared" si="2"/>
        <v>0</v>
      </c>
      <c r="U19" s="34">
        <f>'Access-Jan'!O18</f>
        <v>0</v>
      </c>
      <c r="V19" s="35">
        <f t="shared" si="3"/>
        <v>0</v>
      </c>
      <c r="W19" s="34">
        <f>'Access-Jan'!P18</f>
        <v>0</v>
      </c>
      <c r="X19" s="35">
        <f t="shared" si="4"/>
        <v>0</v>
      </c>
    </row>
    <row r="20" spans="1:24" ht="26.25" customHeight="1" x14ac:dyDescent="0.2">
      <c r="A20" s="31" t="str">
        <f>+'Access-Jan'!A19</f>
        <v>12104</v>
      </c>
      <c r="B20" s="32" t="str">
        <f>+'Access-Jan'!B19</f>
        <v>TRIBUNAL REGIONAL FEDERAL DA 3A. REGIAO</v>
      </c>
      <c r="C20" s="31" t="str">
        <f>CONCATENATE('Access-Jan'!C19,".",'Access-Jan'!D19)</f>
        <v>02.126</v>
      </c>
      <c r="D20" s="31" t="str">
        <f>CONCATENATE('Access-Jan'!E19,".",'Access-Jan'!G19)</f>
        <v>0569.151W</v>
      </c>
      <c r="E20" s="32" t="str">
        <f>+'Access-Jan'!F19</f>
        <v>PRESTACAO JURISDICIONAL NA JUSTICA FEDERAL</v>
      </c>
      <c r="F20" s="32" t="str">
        <f>+'Access-Jan'!H19</f>
        <v>DESENVOLVIMENTO E IMPLANTACAO DO SISTEMA PROCESSO JUDICIAL E</v>
      </c>
      <c r="G20" s="31" t="str">
        <f>IF('Access-Jan'!I19="1","F","S")</f>
        <v>F</v>
      </c>
      <c r="H20" s="31" t="str">
        <f>+'Access-Jan'!J19</f>
        <v>0100</v>
      </c>
      <c r="I20" s="32" t="str">
        <f>+'Access-Jan'!K19</f>
        <v>RECURSOS ORDINARIOS</v>
      </c>
      <c r="J20" s="31" t="str">
        <f>+'Access-Jan'!L19</f>
        <v>3</v>
      </c>
      <c r="K20" s="50"/>
      <c r="L20" s="50"/>
      <c r="M20" s="50"/>
      <c r="N20" s="50">
        <f t="shared" si="0"/>
        <v>0</v>
      </c>
      <c r="O20" s="50"/>
      <c r="P20" s="34">
        <f>'Access-Jan'!M19</f>
        <v>603773</v>
      </c>
      <c r="Q20" s="34"/>
      <c r="R20" s="34">
        <f t="shared" si="1"/>
        <v>603773</v>
      </c>
      <c r="S20" s="39">
        <f>'Access-Jan'!N19</f>
        <v>594734</v>
      </c>
      <c r="T20" s="35">
        <f t="shared" si="2"/>
        <v>0.98502914174698109</v>
      </c>
      <c r="U20" s="34">
        <f>'Access-Jan'!O19</f>
        <v>0</v>
      </c>
      <c r="V20" s="35">
        <f t="shared" si="3"/>
        <v>0</v>
      </c>
      <c r="W20" s="34">
        <f>'Access-Jan'!P19</f>
        <v>0</v>
      </c>
      <c r="X20" s="35">
        <f t="shared" si="4"/>
        <v>0</v>
      </c>
    </row>
    <row r="21" spans="1:24" ht="26.25" customHeight="1" x14ac:dyDescent="0.2">
      <c r="A21" s="31" t="str">
        <f>+'Access-Jan'!A20</f>
        <v>12104</v>
      </c>
      <c r="B21" s="32" t="str">
        <f>+'Access-Jan'!B20</f>
        <v>TRIBUNAL REGIONAL FEDERAL DA 3A. REGIAO</v>
      </c>
      <c r="C21" s="31" t="str">
        <f>CONCATENATE('Access-Jan'!C20,".",'Access-Jan'!D20)</f>
        <v>02.131</v>
      </c>
      <c r="D21" s="31" t="str">
        <f>CONCATENATE('Access-Jan'!E20,".",'Access-Jan'!G20)</f>
        <v>0569.2549</v>
      </c>
      <c r="E21" s="32" t="str">
        <f>+'Access-Jan'!F20</f>
        <v>PRESTACAO JURISDICIONAL NA JUSTICA FEDERAL</v>
      </c>
      <c r="F21" s="32" t="str">
        <f>+'Access-Jan'!H20</f>
        <v>COMUNICACAO E DIVULGACAO INSTITUCIONAL</v>
      </c>
      <c r="G21" s="31" t="str">
        <f>IF('Access-Jan'!I20="1","F","S")</f>
        <v>F</v>
      </c>
      <c r="H21" s="31" t="str">
        <f>+'Access-Jan'!J20</f>
        <v>0100</v>
      </c>
      <c r="I21" s="32" t="str">
        <f>+'Access-Jan'!K20</f>
        <v>RECURSOS ORDINARIOS</v>
      </c>
      <c r="J21" s="31" t="str">
        <f>+'Access-Jan'!L20</f>
        <v>3</v>
      </c>
      <c r="K21" s="50"/>
      <c r="L21" s="50"/>
      <c r="M21" s="50"/>
      <c r="N21" s="50">
        <f t="shared" si="0"/>
        <v>0</v>
      </c>
      <c r="O21" s="50"/>
      <c r="P21" s="34">
        <f>'Access-Jan'!M20</f>
        <v>560609</v>
      </c>
      <c r="Q21" s="34"/>
      <c r="R21" s="34">
        <f t="shared" si="1"/>
        <v>560609</v>
      </c>
      <c r="S21" s="39">
        <f>'Access-Jan'!N20</f>
        <v>483456.48</v>
      </c>
      <c r="T21" s="35">
        <f t="shared" si="2"/>
        <v>0.86237730753519826</v>
      </c>
      <c r="U21" s="34">
        <f>'Access-Jan'!O20</f>
        <v>0</v>
      </c>
      <c r="V21" s="35">
        <f t="shared" si="3"/>
        <v>0</v>
      </c>
      <c r="W21" s="34">
        <f>'Access-Jan'!P20</f>
        <v>0</v>
      </c>
      <c r="X21" s="35">
        <f t="shared" si="4"/>
        <v>0</v>
      </c>
    </row>
    <row r="22" spans="1:24" ht="26.25" customHeight="1" x14ac:dyDescent="0.2">
      <c r="A22" s="31" t="str">
        <f>+'Access-Jan'!A21</f>
        <v>12104</v>
      </c>
      <c r="B22" s="32" t="str">
        <f>+'Access-Jan'!B21</f>
        <v>TRIBUNAL REGIONAL FEDERAL DA 3A. REGIAO</v>
      </c>
      <c r="C22" s="31" t="str">
        <f>CONCATENATE('Access-Jan'!C21,".",'Access-Jan'!D21)</f>
        <v>02.301</v>
      </c>
      <c r="D22" s="31" t="str">
        <f>CONCATENATE('Access-Jan'!E21,".",'Access-Jan'!G21)</f>
        <v>0569.2004</v>
      </c>
      <c r="E22" s="32" t="str">
        <f>+'Access-Jan'!F21</f>
        <v>PRESTACAO JURISDICIONAL NA JUSTICA FEDERAL</v>
      </c>
      <c r="F22" s="32" t="str">
        <f>+'Access-Jan'!H21</f>
        <v>ASSISTENCIA MEDICA E ODONTOLOGICA AOS SERVIDORES CIVIS, EMPR</v>
      </c>
      <c r="G22" s="31" t="str">
        <f>IF('Access-Jan'!I21="1","F","S")</f>
        <v>S</v>
      </c>
      <c r="H22" s="31" t="str">
        <f>+'Access-Jan'!J21</f>
        <v>0100</v>
      </c>
      <c r="I22" s="32" t="str">
        <f>+'Access-Jan'!K21</f>
        <v>RECURSOS ORDINARIOS</v>
      </c>
      <c r="J22" s="31" t="str">
        <f>+'Access-Jan'!L21</f>
        <v>4</v>
      </c>
      <c r="K22" s="50"/>
      <c r="L22" s="50"/>
      <c r="M22" s="50"/>
      <c r="N22" s="50">
        <f t="shared" si="0"/>
        <v>0</v>
      </c>
      <c r="O22" s="50"/>
      <c r="P22" s="34">
        <f>'Access-Jan'!M21</f>
        <v>15000</v>
      </c>
      <c r="Q22" s="34"/>
      <c r="R22" s="34">
        <f t="shared" si="1"/>
        <v>15000</v>
      </c>
      <c r="S22" s="39">
        <f>'Access-Jan'!N21</f>
        <v>0</v>
      </c>
      <c r="T22" s="35">
        <f t="shared" si="2"/>
        <v>0</v>
      </c>
      <c r="U22" s="34">
        <f>'Access-Jan'!O21</f>
        <v>0</v>
      </c>
      <c r="V22" s="35">
        <f t="shared" si="3"/>
        <v>0</v>
      </c>
      <c r="W22" s="34">
        <f>'Access-Jan'!P21</f>
        <v>0</v>
      </c>
      <c r="X22" s="35">
        <f t="shared" si="4"/>
        <v>0</v>
      </c>
    </row>
    <row r="23" spans="1:24" ht="26.25" customHeight="1" x14ac:dyDescent="0.2">
      <c r="A23" s="31" t="str">
        <f>+'Access-Jan'!A22</f>
        <v>12104</v>
      </c>
      <c r="B23" s="32" t="str">
        <f>+'Access-Jan'!B22</f>
        <v>TRIBUNAL REGIONAL FEDERAL DA 3A. REGIAO</v>
      </c>
      <c r="C23" s="31" t="str">
        <f>CONCATENATE('Access-Jan'!C22,".",'Access-Jan'!D22)</f>
        <v>02.301</v>
      </c>
      <c r="D23" s="31" t="str">
        <f>CONCATENATE('Access-Jan'!E22,".",'Access-Jan'!G22)</f>
        <v>0569.2004</v>
      </c>
      <c r="E23" s="32" t="str">
        <f>+'Access-Jan'!F22</f>
        <v>PRESTACAO JURISDICIONAL NA JUSTICA FEDERAL</v>
      </c>
      <c r="F23" s="32" t="str">
        <f>+'Access-Jan'!H22</f>
        <v>ASSISTENCIA MEDICA E ODONTOLOGICA AOS SERVIDORES CIVIS, EMPR</v>
      </c>
      <c r="G23" s="31" t="str">
        <f>IF('Access-Jan'!I22="1","F","S")</f>
        <v>S</v>
      </c>
      <c r="H23" s="31" t="str">
        <f>+'Access-Jan'!J22</f>
        <v>0100</v>
      </c>
      <c r="I23" s="32" t="str">
        <f>+'Access-Jan'!K22</f>
        <v>RECURSOS ORDINARIOS</v>
      </c>
      <c r="J23" s="31" t="str">
        <f>+'Access-Jan'!L22</f>
        <v>3</v>
      </c>
      <c r="K23" s="50"/>
      <c r="L23" s="50"/>
      <c r="M23" s="50"/>
      <c r="N23" s="50">
        <f t="shared" si="0"/>
        <v>0</v>
      </c>
      <c r="O23" s="50"/>
      <c r="P23" s="34">
        <f>'Access-Jan'!M22</f>
        <v>12111000</v>
      </c>
      <c r="Q23" s="34"/>
      <c r="R23" s="34">
        <f t="shared" si="1"/>
        <v>12111000</v>
      </c>
      <c r="S23" s="39">
        <f>'Access-Jan'!N22</f>
        <v>7893400</v>
      </c>
      <c r="T23" s="35">
        <f t="shared" si="2"/>
        <v>0.65175460325324086</v>
      </c>
      <c r="U23" s="34">
        <f>'Access-Jan'!O22</f>
        <v>65707.75</v>
      </c>
      <c r="V23" s="35">
        <f t="shared" si="3"/>
        <v>5.4254603253240854E-3</v>
      </c>
      <c r="W23" s="34">
        <f>'Access-Jan'!P22</f>
        <v>65707.75</v>
      </c>
      <c r="X23" s="35">
        <f t="shared" si="4"/>
        <v>5.4254603253240854E-3</v>
      </c>
    </row>
    <row r="24" spans="1:24" ht="26.25" customHeight="1" x14ac:dyDescent="0.2">
      <c r="A24" s="31" t="str">
        <f>+'Access-Jan'!A23</f>
        <v>12104</v>
      </c>
      <c r="B24" s="32" t="str">
        <f>+'Access-Jan'!B23</f>
        <v>TRIBUNAL REGIONAL FEDERAL DA 3A. REGIAO</v>
      </c>
      <c r="C24" s="31" t="str">
        <f>CONCATENATE('Access-Jan'!C23,".",'Access-Jan'!D23)</f>
        <v>02.331</v>
      </c>
      <c r="D24" s="31" t="str">
        <f>CONCATENATE('Access-Jan'!E23,".",'Access-Jan'!G23)</f>
        <v>0569.212B</v>
      </c>
      <c r="E24" s="32" t="str">
        <f>+'Access-Jan'!F23</f>
        <v>PRESTACAO JURISDICIONAL NA JUSTICA FEDERAL</v>
      </c>
      <c r="F24" s="32" t="str">
        <f>+'Access-Jan'!H23</f>
        <v>BENEFICIOS OBRIGATORIOS AOS SERVIDORES CIVIS, EMPREGADOS, MI</v>
      </c>
      <c r="G24" s="31" t="str">
        <f>IF('Access-Jan'!I23="1","F","S")</f>
        <v>F</v>
      </c>
      <c r="H24" s="31" t="str">
        <f>+'Access-Jan'!J23</f>
        <v>0100</v>
      </c>
      <c r="I24" s="32" t="str">
        <f>+'Access-Jan'!K23</f>
        <v>RECURSOS ORDINARIOS</v>
      </c>
      <c r="J24" s="31" t="str">
        <f>+'Access-Jan'!L23</f>
        <v>3</v>
      </c>
      <c r="K24" s="50"/>
      <c r="L24" s="50"/>
      <c r="M24" s="50"/>
      <c r="N24" s="50">
        <f t="shared" si="0"/>
        <v>0</v>
      </c>
      <c r="O24" s="50"/>
      <c r="P24" s="34">
        <f>'Access-Jan'!M23</f>
        <v>22975613.25</v>
      </c>
      <c r="Q24" s="34"/>
      <c r="R24" s="34">
        <f t="shared" si="1"/>
        <v>22975613.25</v>
      </c>
      <c r="S24" s="39">
        <f>'Access-Jan'!N23</f>
        <v>22975613.25</v>
      </c>
      <c r="T24" s="35">
        <f t="shared" si="2"/>
        <v>1</v>
      </c>
      <c r="U24" s="34">
        <f>'Access-Jan'!O23</f>
        <v>1843506.49</v>
      </c>
      <c r="V24" s="35">
        <f t="shared" si="3"/>
        <v>8.023753141823102E-2</v>
      </c>
      <c r="W24" s="34">
        <f>'Access-Jan'!P23</f>
        <v>1843506.49</v>
      </c>
      <c r="X24" s="35">
        <f t="shared" si="4"/>
        <v>8.023753141823102E-2</v>
      </c>
    </row>
    <row r="25" spans="1:24" ht="26.25" customHeight="1" x14ac:dyDescent="0.2">
      <c r="A25" s="31" t="str">
        <f>+'Access-Jan'!A24</f>
        <v>12104</v>
      </c>
      <c r="B25" s="32" t="str">
        <f>+'Access-Jan'!B24</f>
        <v>TRIBUNAL REGIONAL FEDERAL DA 3A. REGIAO</v>
      </c>
      <c r="C25" s="31" t="str">
        <f>CONCATENATE('Access-Jan'!C24,".",'Access-Jan'!D24)</f>
        <v>02.846</v>
      </c>
      <c r="D25" s="31" t="str">
        <f>CONCATENATE('Access-Jan'!E24,".",'Access-Jan'!G24)</f>
        <v>0569.09HB</v>
      </c>
      <c r="E25" s="32" t="str">
        <f>+'Access-Jan'!F24</f>
        <v>PRESTACAO JURISDICIONAL NA JUSTICA FEDERAL</v>
      </c>
      <c r="F25" s="32" t="str">
        <f>+'Access-Jan'!H24</f>
        <v>CONTRIBUICAO DA UNIAO, DE SUAS AUTARQUIAS E FUNDACOES PARA O</v>
      </c>
      <c r="G25" s="31" t="str">
        <f>IF('Access-Jan'!I24="1","F","S")</f>
        <v>F</v>
      </c>
      <c r="H25" s="31" t="str">
        <f>+'Access-Jan'!J24</f>
        <v>0100</v>
      </c>
      <c r="I25" s="32" t="str">
        <f>+'Access-Jan'!K24</f>
        <v>RECURSOS ORDINARIOS</v>
      </c>
      <c r="J25" s="31" t="str">
        <f>+'Access-Jan'!L24</f>
        <v>1</v>
      </c>
      <c r="K25" s="50"/>
      <c r="L25" s="50"/>
      <c r="M25" s="50"/>
      <c r="N25" s="50">
        <f t="shared" si="0"/>
        <v>0</v>
      </c>
      <c r="O25" s="50"/>
      <c r="P25" s="34">
        <f>'Access-Jan'!M24</f>
        <v>5539880.79</v>
      </c>
      <c r="Q25" s="34"/>
      <c r="R25" s="34">
        <f t="shared" si="1"/>
        <v>5539880.79</v>
      </c>
      <c r="S25" s="39">
        <f>'Access-Jan'!N24</f>
        <v>5539880.79</v>
      </c>
      <c r="T25" s="35">
        <f t="shared" si="2"/>
        <v>1</v>
      </c>
      <c r="U25" s="34">
        <f>'Access-Jan'!O24</f>
        <v>5539880.79</v>
      </c>
      <c r="V25" s="35">
        <f t="shared" si="3"/>
        <v>1</v>
      </c>
      <c r="W25" s="34">
        <f>'Access-Jan'!P24</f>
        <v>5539880.79</v>
      </c>
      <c r="X25" s="35">
        <f t="shared" si="4"/>
        <v>1</v>
      </c>
    </row>
    <row r="26" spans="1:24" ht="26.25" customHeight="1" x14ac:dyDescent="0.2">
      <c r="A26" s="31" t="str">
        <f>+'Access-Jan'!A25</f>
        <v>12104</v>
      </c>
      <c r="B26" s="32" t="str">
        <f>+'Access-Jan'!B25</f>
        <v>TRIBUNAL REGIONAL FEDERAL DA 3A. REGIAO</v>
      </c>
      <c r="C26" s="31" t="str">
        <f>CONCATENATE('Access-Jan'!C25,".",'Access-Jan'!D25)</f>
        <v>09.272</v>
      </c>
      <c r="D26" s="31" t="str">
        <f>CONCATENATE('Access-Jan'!E25,".",'Access-Jan'!G25)</f>
        <v>0089.0181</v>
      </c>
      <c r="E26" s="32" t="str">
        <f>+'Access-Jan'!F25</f>
        <v>PREVIDENCIA DE INATIVOS E PENSIONISTAS DA UNIAO</v>
      </c>
      <c r="F26" s="32" t="str">
        <f>+'Access-Jan'!H25</f>
        <v>APOSENTADORIAS E PENSOES CIVIS DA UNIAO</v>
      </c>
      <c r="G26" s="31" t="str">
        <f>IF('Access-Jan'!I25="1","F","S")</f>
        <v>S</v>
      </c>
      <c r="H26" s="31" t="str">
        <f>+'Access-Jan'!J25</f>
        <v>0169</v>
      </c>
      <c r="I26" s="32" t="str">
        <f>+'Access-Jan'!K25</f>
        <v>CONTRIB.PATRONAL P/PLANO DE SEGURID.SOC.SERV.</v>
      </c>
      <c r="J26" s="31" t="str">
        <f>+'Access-Jan'!L25</f>
        <v>1</v>
      </c>
      <c r="K26" s="50"/>
      <c r="L26" s="50"/>
      <c r="M26" s="50"/>
      <c r="N26" s="50">
        <f t="shared" si="0"/>
        <v>0</v>
      </c>
      <c r="O26" s="50"/>
      <c r="P26" s="34">
        <f>'Access-Jan'!M25</f>
        <v>12654818.109999999</v>
      </c>
      <c r="Q26" s="34"/>
      <c r="R26" s="34">
        <f t="shared" si="1"/>
        <v>12654818.109999999</v>
      </c>
      <c r="S26" s="39">
        <f>'Access-Jan'!N25</f>
        <v>12654818.109999999</v>
      </c>
      <c r="T26" s="35">
        <f t="shared" si="2"/>
        <v>1</v>
      </c>
      <c r="U26" s="34">
        <f>'Access-Jan'!O25</f>
        <v>12654818.109999999</v>
      </c>
      <c r="V26" s="35">
        <f t="shared" si="3"/>
        <v>1</v>
      </c>
      <c r="W26" s="34">
        <f>'Access-Jan'!P25</f>
        <v>12151754.15</v>
      </c>
      <c r="X26" s="35">
        <f t="shared" si="4"/>
        <v>0.96024723898619524</v>
      </c>
    </row>
    <row r="27" spans="1:24" ht="26.25" customHeight="1" thickBot="1" x14ac:dyDescent="0.25">
      <c r="A27" s="31" t="str">
        <f>+'Access-Jan'!A26</f>
        <v>12104</v>
      </c>
      <c r="B27" s="32" t="str">
        <f>+'Access-Jan'!B26</f>
        <v>TRIBUNAL REGIONAL FEDERAL DA 3A. REGIAO</v>
      </c>
      <c r="C27" s="31" t="str">
        <f>CONCATENATE('Access-Jan'!C26,".",'Access-Jan'!D26)</f>
        <v>28.846</v>
      </c>
      <c r="D27" s="31" t="str">
        <f>CONCATENATE('Access-Jan'!E26,".",'Access-Jan'!G26)</f>
        <v>0909.0536</v>
      </c>
      <c r="E27" s="32" t="str">
        <f>+'Access-Jan'!F26</f>
        <v>OPERACOES ESPECIAIS: OUTROS ENCARGOS ESPECIAIS</v>
      </c>
      <c r="F27" s="32" t="str">
        <f>+'Access-Jan'!H26</f>
        <v>BENEFICIOS E PENSOES INDENIZATORIAS DECORRENTES DE LEGISLACA</v>
      </c>
      <c r="G27" s="31" t="str">
        <f>IF('Access-Jan'!I26="1","F","S")</f>
        <v>S</v>
      </c>
      <c r="H27" s="31" t="str">
        <f>+'Access-Jan'!J26</f>
        <v>0100</v>
      </c>
      <c r="I27" s="32" t="str">
        <f>+'Access-Jan'!K26</f>
        <v>RECURSOS ORDINARIOS</v>
      </c>
      <c r="J27" s="31" t="str">
        <f>+'Access-Jan'!L26</f>
        <v>3</v>
      </c>
      <c r="K27" s="50"/>
      <c r="L27" s="50"/>
      <c r="M27" s="50"/>
      <c r="N27" s="50">
        <f t="shared" si="0"/>
        <v>0</v>
      </c>
      <c r="O27" s="50"/>
      <c r="P27" s="34">
        <f>'Access-Jan'!M26</f>
        <v>18684</v>
      </c>
      <c r="Q27" s="34"/>
      <c r="R27" s="34">
        <f t="shared" si="1"/>
        <v>18684</v>
      </c>
      <c r="S27" s="39">
        <f>'Access-Jan'!N26</f>
        <v>1501.74</v>
      </c>
      <c r="T27" s="35">
        <f t="shared" si="2"/>
        <v>8.0375722543352596E-2</v>
      </c>
      <c r="U27" s="34">
        <f>'Access-Jan'!O26</f>
        <v>1501.74</v>
      </c>
      <c r="V27" s="35">
        <f t="shared" si="3"/>
        <v>8.0375722543352596E-2</v>
      </c>
      <c r="W27" s="34">
        <f>'Access-Jan'!P26</f>
        <v>1501.74</v>
      </c>
      <c r="X27" s="35">
        <f t="shared" si="4"/>
        <v>8.0375722543352596E-2</v>
      </c>
    </row>
    <row r="28" spans="1:24" ht="26.2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186502076.17000002</v>
      </c>
      <c r="Q28" s="52">
        <f>SUM(Q10:Q27)</f>
        <v>0</v>
      </c>
      <c r="R28" s="52">
        <f>SUM(R10:R27)</f>
        <v>186502076.17000002</v>
      </c>
      <c r="S28" s="52">
        <f>SUM(S10:S27)</f>
        <v>134835445.59000003</v>
      </c>
      <c r="T28" s="43">
        <f t="shared" si="2"/>
        <v>0.72297021223021174</v>
      </c>
      <c r="U28" s="52">
        <f>SUM(U10:U27)</f>
        <v>66184705.089999996</v>
      </c>
      <c r="V28" s="43">
        <f t="shared" si="3"/>
        <v>0.35487382472713835</v>
      </c>
      <c r="W28" s="52">
        <f>SUM(W10:W27)</f>
        <v>63626136.75</v>
      </c>
      <c r="X28" s="43">
        <f t="shared" si="4"/>
        <v>0.34115511235383583</v>
      </c>
    </row>
    <row r="29" spans="1:24" ht="26.2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6.2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0" t="s">
        <v>16</v>
      </c>
      <c r="O31" s="70"/>
      <c r="P31" s="54">
        <f>SUM(P10:P27)</f>
        <v>186502076.17000002</v>
      </c>
      <c r="Q31" s="54"/>
      <c r="R31" s="54">
        <f>SUM(R10:R27)</f>
        <v>186502076.17000002</v>
      </c>
      <c r="S31" s="54">
        <f>SUM(S10:S27)</f>
        <v>134835445.59000003</v>
      </c>
      <c r="T31" s="54"/>
      <c r="U31" s="54">
        <f>SUM(U10:U27)</f>
        <v>66184705.089999996</v>
      </c>
      <c r="V31" s="54"/>
      <c r="W31" s="54">
        <f>SUM(W10:W27)</f>
        <v>63626136.75</v>
      </c>
    </row>
    <row r="32" spans="1:24" ht="25.5" customHeight="1" x14ac:dyDescent="0.2">
      <c r="N32" s="70" t="s">
        <v>132</v>
      </c>
      <c r="O32" s="70"/>
      <c r="P32" s="37">
        <f>'Access-Jan'!M28</f>
        <v>186502076.17000002</v>
      </c>
      <c r="Q32" s="37"/>
      <c r="R32" s="37">
        <f>'Access-Jan'!M28</f>
        <v>186502076.17000002</v>
      </c>
      <c r="S32" s="37">
        <f>'Access-Jan'!N28</f>
        <v>134835445.59000003</v>
      </c>
      <c r="T32" s="37"/>
      <c r="U32" s="37">
        <f>'Access-Jan'!O28</f>
        <v>66184705.089999996</v>
      </c>
      <c r="V32" s="37"/>
      <c r="W32" s="37">
        <f>'Access-Jan'!P28</f>
        <v>63626136.75</v>
      </c>
    </row>
    <row r="33" spans="14:23" ht="25.5" customHeight="1" x14ac:dyDescent="0.2">
      <c r="N33" s="70" t="s">
        <v>17</v>
      </c>
      <c r="O33" s="70"/>
      <c r="P33" s="37">
        <f>+P31-P32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145</v>
      </c>
      <c r="P35" s="67">
        <v>186502076.16999999</v>
      </c>
      <c r="R35" s="67">
        <v>186502076.16999999</v>
      </c>
      <c r="S35" s="1">
        <v>134835445.59</v>
      </c>
      <c r="U35" s="1">
        <v>66184705.090000004</v>
      </c>
      <c r="W35" s="1">
        <v>63626136.75</v>
      </c>
    </row>
    <row r="36" spans="14:23" ht="25.5" customHeight="1" x14ac:dyDescent="0.2">
      <c r="N36" s="73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A5:X5"/>
    <mergeCell ref="A7:J7"/>
    <mergeCell ref="K7:K8"/>
    <mergeCell ref="L7:M7"/>
    <mergeCell ref="R7:R8"/>
    <mergeCell ref="S7:X7"/>
    <mergeCell ref="J8:J9"/>
    <mergeCell ref="A8:B8"/>
    <mergeCell ref="C8:C9"/>
    <mergeCell ref="D8:D9"/>
    <mergeCell ref="E8:F8"/>
    <mergeCell ref="G8:G9"/>
    <mergeCell ref="H8:I8"/>
    <mergeCell ref="A28:J28"/>
    <mergeCell ref="N7:N8"/>
    <mergeCell ref="O7:O8"/>
    <mergeCell ref="P7:Q7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2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"/>
  <sheetViews>
    <sheetView showGridLines="0" view="pageBreakPreview" topLeftCell="C13" zoomScale="70" zoomScaleNormal="100" zoomScaleSheetLayoutView="70" workbookViewId="0">
      <selection activeCell="A33" sqref="A33:XFD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4" style="4" bestFit="1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43009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thickBot="1" x14ac:dyDescent="0.25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91" t="s">
        <v>85</v>
      </c>
      <c r="B6" s="94"/>
      <c r="C6" s="94"/>
      <c r="D6" s="94"/>
      <c r="E6" s="94"/>
      <c r="F6" s="94"/>
      <c r="G6" s="94"/>
      <c r="H6" s="94"/>
      <c r="I6" s="94"/>
      <c r="J6" s="92"/>
      <c r="K6" s="89" t="s">
        <v>3</v>
      </c>
      <c r="L6" s="86" t="s">
        <v>86</v>
      </c>
      <c r="M6" s="88"/>
      <c r="N6" s="89" t="s">
        <v>87</v>
      </c>
      <c r="O6" s="89" t="s">
        <v>88</v>
      </c>
      <c r="P6" s="91" t="s">
        <v>89</v>
      </c>
      <c r="Q6" s="92"/>
      <c r="R6" s="89" t="s">
        <v>6</v>
      </c>
      <c r="S6" s="91" t="s">
        <v>90</v>
      </c>
      <c r="T6" s="94"/>
      <c r="U6" s="94"/>
      <c r="V6" s="94"/>
      <c r="W6" s="94"/>
      <c r="X6" s="92"/>
    </row>
    <row r="7" spans="1:24" ht="25.5" customHeight="1" x14ac:dyDescent="0.2">
      <c r="A7" s="97" t="s">
        <v>23</v>
      </c>
      <c r="B7" s="98"/>
      <c r="C7" s="95" t="s">
        <v>91</v>
      </c>
      <c r="D7" s="95" t="s">
        <v>92</v>
      </c>
      <c r="E7" s="99" t="s">
        <v>93</v>
      </c>
      <c r="F7" s="100"/>
      <c r="G7" s="95" t="s">
        <v>0</v>
      </c>
      <c r="H7" s="84" t="s">
        <v>2</v>
      </c>
      <c r="I7" s="85"/>
      <c r="J7" s="95" t="s">
        <v>1</v>
      </c>
      <c r="K7" s="90"/>
      <c r="L7" s="12" t="s">
        <v>94</v>
      </c>
      <c r="M7" s="12" t="s">
        <v>95</v>
      </c>
      <c r="N7" s="90"/>
      <c r="O7" s="90"/>
      <c r="P7" s="14" t="s">
        <v>4</v>
      </c>
      <c r="Q7" s="14" t="s">
        <v>5</v>
      </c>
      <c r="R7" s="90"/>
      <c r="S7" s="13" t="s">
        <v>7</v>
      </c>
      <c r="T7" s="15" t="s">
        <v>8</v>
      </c>
      <c r="U7" s="13" t="s">
        <v>9</v>
      </c>
      <c r="V7" s="16" t="s">
        <v>8</v>
      </c>
      <c r="W7" s="17" t="s">
        <v>10</v>
      </c>
      <c r="X7" s="16" t="s">
        <v>8</v>
      </c>
    </row>
    <row r="8" spans="1:24" ht="25.5" customHeight="1" thickBot="1" x14ac:dyDescent="0.25">
      <c r="A8" s="18" t="s">
        <v>96</v>
      </c>
      <c r="B8" s="18" t="s">
        <v>97</v>
      </c>
      <c r="C8" s="96"/>
      <c r="D8" s="96"/>
      <c r="E8" s="19" t="s">
        <v>98</v>
      </c>
      <c r="F8" s="19" t="s">
        <v>99</v>
      </c>
      <c r="G8" s="96"/>
      <c r="H8" s="19" t="s">
        <v>96</v>
      </c>
      <c r="I8" s="19" t="s">
        <v>97</v>
      </c>
      <c r="J8" s="96"/>
      <c r="K8" s="18" t="s">
        <v>100</v>
      </c>
      <c r="L8" s="20" t="s">
        <v>101</v>
      </c>
      <c r="M8" s="20" t="s">
        <v>102</v>
      </c>
      <c r="N8" s="20" t="s">
        <v>103</v>
      </c>
      <c r="O8" s="20" t="s">
        <v>104</v>
      </c>
      <c r="P8" s="20" t="s">
        <v>12</v>
      </c>
      <c r="Q8" s="20" t="s">
        <v>105</v>
      </c>
      <c r="R8" s="18" t="s">
        <v>106</v>
      </c>
      <c r="S8" s="21" t="s">
        <v>107</v>
      </c>
      <c r="T8" s="22" t="s">
        <v>108</v>
      </c>
      <c r="U8" s="21" t="s">
        <v>109</v>
      </c>
      <c r="V8" s="22" t="s">
        <v>110</v>
      </c>
      <c r="W8" s="23" t="s">
        <v>111</v>
      </c>
      <c r="X8" s="22" t="s">
        <v>112</v>
      </c>
    </row>
    <row r="9" spans="1:24" ht="25.5" customHeight="1" x14ac:dyDescent="0.2">
      <c r="A9" s="24" t="str">
        <f>+'Access-Out'!A9</f>
        <v>12101</v>
      </c>
      <c r="B9" s="25" t="str">
        <f>+'Access-Out'!B9</f>
        <v>JUSTICA FEDERAL DE PRIMEIRO GRAU</v>
      </c>
      <c r="C9" s="26" t="str">
        <f>CONCATENATE('Access-Out'!C9,".",'Access-Out'!D9)</f>
        <v>02.061</v>
      </c>
      <c r="D9" s="26" t="str">
        <f>CONCATENATE('Access-Out'!E9,".",'Access-Out'!G9)</f>
        <v>0569.4257</v>
      </c>
      <c r="E9" s="25" t="str">
        <f>+'Access-Out'!F9</f>
        <v>PRESTACAO JURISDICIONAL NA JUSTICA FEDERAL</v>
      </c>
      <c r="F9" s="27" t="str">
        <f>+'Access-Out'!H9</f>
        <v>JULGAMENTO DE CAUSAS NA JUSTICA FEDERAL</v>
      </c>
      <c r="G9" s="24" t="str">
        <f>IF('Access-Out'!I9="1","F","S")</f>
        <v>F</v>
      </c>
      <c r="H9" s="24" t="str">
        <f>+'Access-Out'!J9</f>
        <v>0100</v>
      </c>
      <c r="I9" s="28" t="str">
        <f>+'Access-Out'!K9</f>
        <v>RECURSOS ORDINARIOS</v>
      </c>
      <c r="J9" s="24" t="str">
        <f>+'Access-Out'!L9</f>
        <v>4</v>
      </c>
      <c r="K9" s="47"/>
      <c r="L9" s="48"/>
      <c r="M9" s="48"/>
      <c r="N9" s="49">
        <f>+K9+L9-M9</f>
        <v>0</v>
      </c>
      <c r="O9" s="47"/>
      <c r="P9" s="29">
        <f>'Access-Out'!M9</f>
        <v>730000</v>
      </c>
      <c r="Q9" s="29"/>
      <c r="R9" s="29">
        <f>N9-O9+P9</f>
        <v>730000</v>
      </c>
      <c r="S9" s="29">
        <f>'Access-Out'!N9</f>
        <v>0</v>
      </c>
      <c r="T9" s="44">
        <f>IF(R9&gt;0,S9/R9,0)</f>
        <v>0</v>
      </c>
      <c r="U9" s="29">
        <f>'Access-Out'!O9</f>
        <v>0</v>
      </c>
      <c r="V9" s="30">
        <f>IF(R9&gt;0,U9/R9,0)</f>
        <v>0</v>
      </c>
      <c r="W9" s="29">
        <f>'Access-Out'!P9</f>
        <v>0</v>
      </c>
      <c r="X9" s="30">
        <f>IF(R9&gt;0,W9/R9,0)</f>
        <v>0</v>
      </c>
    </row>
    <row r="10" spans="1:24" ht="25.5" customHeight="1" x14ac:dyDescent="0.2">
      <c r="A10" s="31" t="str">
        <f>+'Access-Out'!A10</f>
        <v>12101</v>
      </c>
      <c r="B10" s="32" t="str">
        <f>+'Access-Out'!B10</f>
        <v>JUSTICA FEDERAL DE PRIMEIRO GRAU</v>
      </c>
      <c r="C10" s="31" t="str">
        <f>CONCATENATE('Access-Out'!C10,".",'Access-Out'!D10)</f>
        <v>02.061</v>
      </c>
      <c r="D10" s="31" t="str">
        <f>CONCATENATE('Access-Out'!E10,".",'Access-Out'!G10)</f>
        <v>0569.4257</v>
      </c>
      <c r="E10" s="32" t="str">
        <f>+'Access-Out'!F10</f>
        <v>PRESTACAO JURISDICIONAL NA JUSTICA FEDERAL</v>
      </c>
      <c r="F10" s="33" t="str">
        <f>+'Access-Out'!H10</f>
        <v>JULGAMENTO DE CAUSAS NA JUSTICA FEDERAL</v>
      </c>
      <c r="G10" s="31" t="str">
        <f>IF('Access-Out'!I10="1","F","S")</f>
        <v>F</v>
      </c>
      <c r="H10" s="31" t="str">
        <f>+'Access-Out'!J10</f>
        <v>0181</v>
      </c>
      <c r="I10" s="32" t="str">
        <f>+'Access-Out'!K10</f>
        <v>RECURSOS DE CONVENIOS</v>
      </c>
      <c r="J10" s="31" t="str">
        <f>+'Access-Out'!L10</f>
        <v>4</v>
      </c>
      <c r="K10" s="50"/>
      <c r="L10" s="50"/>
      <c r="M10" s="50"/>
      <c r="N10" s="51">
        <f t="shared" ref="N10:N30" si="0">+K10+L10-M10</f>
        <v>0</v>
      </c>
      <c r="O10" s="50"/>
      <c r="P10" s="34">
        <f>'Access-Out'!M10</f>
        <v>0</v>
      </c>
      <c r="Q10" s="34"/>
      <c r="R10" s="34">
        <f t="shared" ref="R10:R30" si="1">N10-O10+P10</f>
        <v>0</v>
      </c>
      <c r="S10" s="34">
        <f>'Access-Out'!N10</f>
        <v>0</v>
      </c>
      <c r="T10" s="35">
        <f t="shared" ref="T10:T36" si="2">IF(R10&gt;0,S10/R10,0)</f>
        <v>0</v>
      </c>
      <c r="U10" s="34">
        <f>'Access-Out'!O10</f>
        <v>0</v>
      </c>
      <c r="V10" s="35">
        <f t="shared" ref="V10:V36" si="3">IF(R10&gt;0,U10/R10,0)</f>
        <v>0</v>
      </c>
      <c r="W10" s="34">
        <f>'Access-Out'!P10</f>
        <v>0</v>
      </c>
      <c r="X10" s="35">
        <f t="shared" ref="X10:X36" si="4">IF(R10&gt;0,W10/R10,0)</f>
        <v>0</v>
      </c>
    </row>
    <row r="11" spans="1:24" ht="25.5" customHeight="1" x14ac:dyDescent="0.2">
      <c r="A11" s="31" t="str">
        <f>+'Access-Out'!A11</f>
        <v>12104</v>
      </c>
      <c r="B11" s="32" t="str">
        <f>+'Access-Out'!B11</f>
        <v>TRIBUNAL REGIONAL FEDERAL DA 3A. REGIAO</v>
      </c>
      <c r="C11" s="31" t="str">
        <f>CONCATENATE('Access-Out'!C11,".",'Access-Out'!D11)</f>
        <v>02.061</v>
      </c>
      <c r="D11" s="31" t="str">
        <f>CONCATENATE('Access-Out'!E11,".",'Access-Out'!G11)</f>
        <v>0569.4224</v>
      </c>
      <c r="E11" s="32" t="str">
        <f>+'Access-Out'!F11</f>
        <v>PRESTACAO JURISDICIONAL NA JUSTICA FEDERAL</v>
      </c>
      <c r="F11" s="32" t="str">
        <f>+'Access-Out'!H11</f>
        <v>ASSISTENCIA JURIDICA A PESSOAS CARENTES</v>
      </c>
      <c r="G11" s="31" t="str">
        <f>IF('Access-Out'!I11="1","F","S")</f>
        <v>F</v>
      </c>
      <c r="H11" s="31" t="str">
        <f>+'Access-Out'!J11</f>
        <v>0100</v>
      </c>
      <c r="I11" s="32" t="str">
        <f>+'Access-Out'!K11</f>
        <v>RECURSOS ORDINARIOS</v>
      </c>
      <c r="J11" s="31" t="str">
        <f>+'Access-Out'!L11</f>
        <v>3</v>
      </c>
      <c r="K11" s="34"/>
      <c r="L11" s="34"/>
      <c r="M11" s="34"/>
      <c r="N11" s="50">
        <f t="shared" si="0"/>
        <v>0</v>
      </c>
      <c r="O11" s="34"/>
      <c r="P11" s="34">
        <f>'Access-Out'!M11</f>
        <v>15000</v>
      </c>
      <c r="Q11" s="34"/>
      <c r="R11" s="34">
        <f t="shared" si="1"/>
        <v>15000</v>
      </c>
      <c r="S11" s="39">
        <f>'Access-Out'!N11</f>
        <v>15000</v>
      </c>
      <c r="T11" s="35">
        <f t="shared" si="2"/>
        <v>1</v>
      </c>
      <c r="U11" s="34">
        <f>'Access-Out'!O11</f>
        <v>1302.73</v>
      </c>
      <c r="V11" s="35">
        <f t="shared" si="3"/>
        <v>8.6848666666666671E-2</v>
      </c>
      <c r="W11" s="34">
        <f>'Access-Out'!P11</f>
        <v>1302.73</v>
      </c>
      <c r="X11" s="35">
        <f t="shared" si="4"/>
        <v>8.6848666666666671E-2</v>
      </c>
    </row>
    <row r="12" spans="1:24" ht="25.5" customHeight="1" x14ac:dyDescent="0.2">
      <c r="A12" s="31" t="str">
        <f>+'Access-Out'!A12</f>
        <v>12104</v>
      </c>
      <c r="B12" s="32" t="str">
        <f>+'Access-Out'!B12</f>
        <v>TRIBUNAL REGIONAL FEDERAL DA 3A. REGIAO</v>
      </c>
      <c r="C12" s="31" t="str">
        <f>CONCATENATE('Access-Out'!C12,".",'Access-Out'!D12)</f>
        <v>02.061</v>
      </c>
      <c r="D12" s="31" t="str">
        <f>CONCATENATE('Access-Out'!E12,".",'Access-Out'!G12)</f>
        <v>0569.4257</v>
      </c>
      <c r="E12" s="32" t="str">
        <f>+'Access-Out'!F12</f>
        <v>PRESTACAO JURISDICIONAL NA JUSTICA FEDERAL</v>
      </c>
      <c r="F12" s="32" t="str">
        <f>+'Access-Out'!H12</f>
        <v>JULGAMENTO DE CAUSAS NA JUSTICA FEDERAL</v>
      </c>
      <c r="G12" s="31" t="str">
        <f>IF('Access-Out'!I12="1","F","S")</f>
        <v>F</v>
      </c>
      <c r="H12" s="31" t="str">
        <f>+'Access-Out'!J12</f>
        <v>0100</v>
      </c>
      <c r="I12" s="32" t="str">
        <f>+'Access-Out'!K12</f>
        <v>RECURSOS ORDINARIOS</v>
      </c>
      <c r="J12" s="31" t="str">
        <f>+'Access-Out'!L12</f>
        <v>4</v>
      </c>
      <c r="K12" s="34"/>
      <c r="L12" s="34"/>
      <c r="M12" s="34"/>
      <c r="N12" s="50">
        <f t="shared" si="0"/>
        <v>0</v>
      </c>
      <c r="O12" s="34"/>
      <c r="P12" s="34">
        <f>'Access-Out'!M12</f>
        <v>3022256</v>
      </c>
      <c r="Q12" s="34"/>
      <c r="R12" s="34">
        <f t="shared" si="1"/>
        <v>3022256</v>
      </c>
      <c r="S12" s="39">
        <f>'Access-Out'!N12</f>
        <v>247750.6</v>
      </c>
      <c r="T12" s="35">
        <f t="shared" si="2"/>
        <v>8.1975385275105755E-2</v>
      </c>
      <c r="U12" s="34">
        <f>'Access-Out'!O12</f>
        <v>77268.06</v>
      </c>
      <c r="V12" s="35">
        <f t="shared" si="3"/>
        <v>2.5566351758421521E-2</v>
      </c>
      <c r="W12" s="34">
        <f>'Access-Out'!P12</f>
        <v>77268.06</v>
      </c>
      <c r="X12" s="35">
        <f t="shared" si="4"/>
        <v>2.5566351758421521E-2</v>
      </c>
    </row>
    <row r="13" spans="1:24" ht="25.5" customHeight="1" x14ac:dyDescent="0.2">
      <c r="A13" s="31" t="str">
        <f>+'Access-Out'!A13</f>
        <v>12104</v>
      </c>
      <c r="B13" s="32" t="str">
        <f>+'Access-Out'!B13</f>
        <v>TRIBUNAL REGIONAL FEDERAL DA 3A. REGIAO</v>
      </c>
      <c r="C13" s="31" t="str">
        <f>CONCATENATE('Access-Out'!C13,".",'Access-Out'!D13)</f>
        <v>02.061</v>
      </c>
      <c r="D13" s="31" t="str">
        <f>CONCATENATE('Access-Out'!E13,".",'Access-Out'!G13)</f>
        <v>0569.4257</v>
      </c>
      <c r="E13" s="32" t="str">
        <f>+'Access-Out'!F13</f>
        <v>PRESTACAO JURISDICIONAL NA JUSTICA FEDERAL</v>
      </c>
      <c r="F13" s="32" t="str">
        <f>+'Access-Out'!H13</f>
        <v>JULGAMENTO DE CAUSAS NA JUSTICA FEDERAL</v>
      </c>
      <c r="G13" s="31" t="str">
        <f>IF('Access-Out'!I13="1","F","S")</f>
        <v>F</v>
      </c>
      <c r="H13" s="31" t="str">
        <f>+'Access-Out'!J13</f>
        <v>0100</v>
      </c>
      <c r="I13" s="32" t="str">
        <f>+'Access-Out'!K13</f>
        <v>RECURSOS ORDINARIOS</v>
      </c>
      <c r="J13" s="31" t="str">
        <f>+'Access-Out'!L13</f>
        <v>3</v>
      </c>
      <c r="K13" s="34"/>
      <c r="L13" s="34"/>
      <c r="M13" s="34"/>
      <c r="N13" s="50">
        <f t="shared" si="0"/>
        <v>0</v>
      </c>
      <c r="O13" s="34"/>
      <c r="P13" s="34">
        <f>'Access-Out'!M13</f>
        <v>46266215</v>
      </c>
      <c r="Q13" s="34"/>
      <c r="R13" s="34">
        <f t="shared" si="1"/>
        <v>46266215</v>
      </c>
      <c r="S13" s="39">
        <f>'Access-Out'!N13</f>
        <v>42102529.799999997</v>
      </c>
      <c r="T13" s="35">
        <f t="shared" si="2"/>
        <v>0.91000592549012271</v>
      </c>
      <c r="U13" s="34">
        <f>'Access-Out'!O13</f>
        <v>28113699.82</v>
      </c>
      <c r="V13" s="35">
        <f t="shared" si="3"/>
        <v>0.60765074082675663</v>
      </c>
      <c r="W13" s="34">
        <f>'Access-Out'!P13</f>
        <v>27481514.77</v>
      </c>
      <c r="X13" s="35">
        <f t="shared" si="4"/>
        <v>0.59398666543178424</v>
      </c>
    </row>
    <row r="14" spans="1:24" ht="25.5" customHeight="1" x14ac:dyDescent="0.2">
      <c r="A14" s="31" t="str">
        <f>+'Access-Out'!A14</f>
        <v>12104</v>
      </c>
      <c r="B14" s="32" t="str">
        <f>+'Access-Out'!B14</f>
        <v>TRIBUNAL REGIONAL FEDERAL DA 3A. REGIAO</v>
      </c>
      <c r="C14" s="31" t="str">
        <f>CONCATENATE('Access-Out'!C14,".",'Access-Out'!D14)</f>
        <v>02.061</v>
      </c>
      <c r="D14" s="31" t="str">
        <f>CONCATENATE('Access-Out'!E14,".",'Access-Out'!G14)</f>
        <v>0569.4257</v>
      </c>
      <c r="E14" s="32" t="str">
        <f>+'Access-Out'!F14</f>
        <v>PRESTACAO JURISDICIONAL NA JUSTICA FEDERAL</v>
      </c>
      <c r="F14" s="32" t="str">
        <f>+'Access-Out'!H14</f>
        <v>JULGAMENTO DE CAUSAS NA JUSTICA FEDERAL</v>
      </c>
      <c r="G14" s="31" t="str">
        <f>IF('Access-Out'!I14="1","F","S")</f>
        <v>F</v>
      </c>
      <c r="H14" s="31" t="str">
        <f>+'Access-Out'!J14</f>
        <v>0127</v>
      </c>
      <c r="I14" s="32" t="str">
        <f>+'Access-Out'!K14</f>
        <v>CUSTAS E EMOLUMENTOS - PODER JUDICIARIO</v>
      </c>
      <c r="J14" s="31" t="str">
        <f>+'Access-Out'!L14</f>
        <v>3</v>
      </c>
      <c r="K14" s="50"/>
      <c r="L14" s="50"/>
      <c r="M14" s="50"/>
      <c r="N14" s="50">
        <f t="shared" si="0"/>
        <v>0</v>
      </c>
      <c r="O14" s="50"/>
      <c r="P14" s="34">
        <f>'Access-Out'!M14</f>
        <v>6790890</v>
      </c>
      <c r="Q14" s="34"/>
      <c r="R14" s="34">
        <f t="shared" si="1"/>
        <v>6790890</v>
      </c>
      <c r="S14" s="39">
        <f>'Access-Out'!N14</f>
        <v>6790890</v>
      </c>
      <c r="T14" s="35">
        <f t="shared" si="2"/>
        <v>1</v>
      </c>
      <c r="U14" s="34">
        <f>'Access-Out'!O14</f>
        <v>5605576.8200000003</v>
      </c>
      <c r="V14" s="35">
        <f t="shared" si="3"/>
        <v>0.82545539980768357</v>
      </c>
      <c r="W14" s="34">
        <f>'Access-Out'!P14</f>
        <v>5605576.8200000003</v>
      </c>
      <c r="X14" s="35">
        <f t="shared" si="4"/>
        <v>0.82545539980768357</v>
      </c>
    </row>
    <row r="15" spans="1:24" ht="25.5" customHeight="1" x14ac:dyDescent="0.2">
      <c r="A15" s="31" t="str">
        <f>+'Access-Out'!A15</f>
        <v>12104</v>
      </c>
      <c r="B15" s="32" t="str">
        <f>+'Access-Out'!B15</f>
        <v>TRIBUNAL REGIONAL FEDERAL DA 3A. REGIAO</v>
      </c>
      <c r="C15" s="31" t="str">
        <f>CONCATENATE('Access-Out'!C15,".",'Access-Out'!D15)</f>
        <v>02.061</v>
      </c>
      <c r="D15" s="31" t="str">
        <f>CONCATENATE('Access-Out'!E15,".",'Access-Out'!G15)</f>
        <v>0569.4257</v>
      </c>
      <c r="E15" s="32" t="str">
        <f>+'Access-Out'!F15</f>
        <v>PRESTACAO JURISDICIONAL NA JUSTICA FEDERAL</v>
      </c>
      <c r="F15" s="32" t="str">
        <f>+'Access-Out'!H15</f>
        <v>JULGAMENTO DE CAUSAS NA JUSTICA FEDERAL</v>
      </c>
      <c r="G15" s="31" t="str">
        <f>IF('Access-Out'!I15="1","F","S")</f>
        <v>F</v>
      </c>
      <c r="H15" s="31" t="str">
        <f>+'Access-Out'!J15</f>
        <v>0150</v>
      </c>
      <c r="I15" s="32" t="str">
        <f>+'Access-Out'!K15</f>
        <v>RECURSOS NAO-FINANCEIROS DIRETAM. ARRECADADOS</v>
      </c>
      <c r="J15" s="31" t="str">
        <f>+'Access-Out'!L15</f>
        <v>3</v>
      </c>
      <c r="K15" s="34"/>
      <c r="L15" s="34"/>
      <c r="M15" s="34"/>
      <c r="N15" s="50">
        <f t="shared" si="0"/>
        <v>0</v>
      </c>
      <c r="O15" s="34"/>
      <c r="P15" s="34">
        <f>'Access-Out'!M15</f>
        <v>800000</v>
      </c>
      <c r="Q15" s="34"/>
      <c r="R15" s="34">
        <f t="shared" si="1"/>
        <v>800000</v>
      </c>
      <c r="S15" s="39">
        <f>'Access-Out'!N15</f>
        <v>0</v>
      </c>
      <c r="T15" s="35">
        <f t="shared" si="2"/>
        <v>0</v>
      </c>
      <c r="U15" s="34">
        <f>'Access-Out'!O15</f>
        <v>0</v>
      </c>
      <c r="V15" s="35">
        <f t="shared" si="3"/>
        <v>0</v>
      </c>
      <c r="W15" s="34">
        <f>'Access-Out'!P15</f>
        <v>0</v>
      </c>
      <c r="X15" s="35">
        <f t="shared" si="4"/>
        <v>0</v>
      </c>
    </row>
    <row r="16" spans="1:24" ht="25.5" customHeight="1" x14ac:dyDescent="0.2">
      <c r="A16" s="31" t="str">
        <f>+'Access-Out'!A16</f>
        <v>12104</v>
      </c>
      <c r="B16" s="32" t="str">
        <f>+'Access-Out'!B16</f>
        <v>TRIBUNAL REGIONAL FEDERAL DA 3A. REGIAO</v>
      </c>
      <c r="C16" s="31" t="str">
        <f>CONCATENATE('Access-Out'!C16,".",'Access-Out'!D16)</f>
        <v>02.061</v>
      </c>
      <c r="D16" s="31" t="str">
        <f>CONCATENATE('Access-Out'!E16,".",'Access-Out'!G16)</f>
        <v>0569.4257</v>
      </c>
      <c r="E16" s="32" t="str">
        <f>+'Access-Out'!F16</f>
        <v>PRESTACAO JURISDICIONAL NA JUSTICA FEDERAL</v>
      </c>
      <c r="F16" s="32" t="str">
        <f>+'Access-Out'!H16</f>
        <v>JULGAMENTO DE CAUSAS NA JUSTICA FEDERAL</v>
      </c>
      <c r="G16" s="31" t="str">
        <f>IF('Access-Out'!I16="1","F","S")</f>
        <v>F</v>
      </c>
      <c r="H16" s="31" t="str">
        <f>+'Access-Out'!J16</f>
        <v>0181</v>
      </c>
      <c r="I16" s="32" t="str">
        <f>+'Access-Out'!K16</f>
        <v>RECURSOS DE CONVENIOS</v>
      </c>
      <c r="J16" s="31" t="str">
        <f>+'Access-Out'!L16</f>
        <v>4</v>
      </c>
      <c r="K16" s="34"/>
      <c r="L16" s="34"/>
      <c r="M16" s="34"/>
      <c r="N16" s="50">
        <f t="shared" si="0"/>
        <v>0</v>
      </c>
      <c r="O16" s="34"/>
      <c r="P16" s="34">
        <f>'Access-Out'!M16</f>
        <v>4951378</v>
      </c>
      <c r="Q16" s="34"/>
      <c r="R16" s="34">
        <f t="shared" si="1"/>
        <v>4951378</v>
      </c>
      <c r="S16" s="39">
        <f>'Access-Out'!N16</f>
        <v>3440573</v>
      </c>
      <c r="T16" s="35">
        <f t="shared" si="2"/>
        <v>0.69487181144319821</v>
      </c>
      <c r="U16" s="34">
        <f>'Access-Out'!O16</f>
        <v>0</v>
      </c>
      <c r="V16" s="35">
        <f t="shared" si="3"/>
        <v>0</v>
      </c>
      <c r="W16" s="34">
        <f>'Access-Out'!P16</f>
        <v>0</v>
      </c>
      <c r="X16" s="35">
        <f t="shared" si="4"/>
        <v>0</v>
      </c>
    </row>
    <row r="17" spans="1:24" ht="25.5" customHeight="1" x14ac:dyDescent="0.2">
      <c r="A17" s="31" t="str">
        <f>+'Access-Out'!A17</f>
        <v>12104</v>
      </c>
      <c r="B17" s="32" t="str">
        <f>+'Access-Out'!B17</f>
        <v>TRIBUNAL REGIONAL FEDERAL DA 3A. REGIAO</v>
      </c>
      <c r="C17" s="31" t="str">
        <f>CONCATENATE('Access-Out'!C17,".",'Access-Out'!D17)</f>
        <v>02.061</v>
      </c>
      <c r="D17" s="31" t="str">
        <f>CONCATENATE('Access-Out'!E17,".",'Access-Out'!G17)</f>
        <v>0569.4257</v>
      </c>
      <c r="E17" s="32" t="str">
        <f>+'Access-Out'!F17</f>
        <v>PRESTACAO JURISDICIONAL NA JUSTICA FEDERAL</v>
      </c>
      <c r="F17" s="32" t="str">
        <f>+'Access-Out'!H17</f>
        <v>JULGAMENTO DE CAUSAS NA JUSTICA FEDERAL</v>
      </c>
      <c r="G17" s="31" t="str">
        <f>IF('Access-Out'!I17="1","F","S")</f>
        <v>F</v>
      </c>
      <c r="H17" s="31" t="str">
        <f>+'Access-Out'!J17</f>
        <v>0181</v>
      </c>
      <c r="I17" s="32" t="str">
        <f>+'Access-Out'!K17</f>
        <v>RECURSOS DE CONVENIOS</v>
      </c>
      <c r="J17" s="31" t="str">
        <f>+'Access-Out'!L17</f>
        <v>3</v>
      </c>
      <c r="K17" s="50"/>
      <c r="L17" s="50"/>
      <c r="M17" s="50"/>
      <c r="N17" s="50">
        <f t="shared" si="0"/>
        <v>0</v>
      </c>
      <c r="O17" s="50"/>
      <c r="P17" s="34">
        <f>'Access-Out'!M17</f>
        <v>175000</v>
      </c>
      <c r="Q17" s="34"/>
      <c r="R17" s="34">
        <f t="shared" si="1"/>
        <v>175000</v>
      </c>
      <c r="S17" s="39">
        <f>'Access-Out'!N17</f>
        <v>157660</v>
      </c>
      <c r="T17" s="35">
        <f t="shared" si="2"/>
        <v>0.90091428571428567</v>
      </c>
      <c r="U17" s="34">
        <f>'Access-Out'!O17</f>
        <v>0</v>
      </c>
      <c r="V17" s="35">
        <f t="shared" si="3"/>
        <v>0</v>
      </c>
      <c r="W17" s="34">
        <f>'Access-Out'!P17</f>
        <v>0</v>
      </c>
      <c r="X17" s="35">
        <f t="shared" si="4"/>
        <v>0</v>
      </c>
    </row>
    <row r="18" spans="1:24" ht="25.5" customHeight="1" x14ac:dyDescent="0.2">
      <c r="A18" s="31" t="str">
        <f>+'Access-Out'!A18</f>
        <v>12104</v>
      </c>
      <c r="B18" s="32" t="str">
        <f>+'Access-Out'!B18</f>
        <v>TRIBUNAL REGIONAL FEDERAL DA 3A. REGIAO</v>
      </c>
      <c r="C18" s="31" t="str">
        <f>CONCATENATE('Access-Out'!C18,".",'Access-Out'!D18)</f>
        <v>02.122</v>
      </c>
      <c r="D18" s="31" t="str">
        <f>CONCATENATE('Access-Out'!E18,".",'Access-Out'!G18)</f>
        <v>0569.12SU</v>
      </c>
      <c r="E18" s="32" t="str">
        <f>+'Access-Out'!F18</f>
        <v>PRESTACAO JURISDICIONAL NA JUSTICA FEDERAL</v>
      </c>
      <c r="F18" s="32" t="str">
        <f>+'Access-Out'!H18</f>
        <v>AQUISICAO DE EDIFICIO-ANEXO AO TRF 3. REGIAO EM SAO PAULO -</v>
      </c>
      <c r="G18" s="31" t="str">
        <f>IF('Access-Out'!I18="1","F","S")</f>
        <v>F</v>
      </c>
      <c r="H18" s="31" t="str">
        <f>+'Access-Out'!J18</f>
        <v>0100</v>
      </c>
      <c r="I18" s="32" t="str">
        <f>+'Access-Out'!K18</f>
        <v>RECURSOS ORDINARIOS</v>
      </c>
      <c r="J18" s="31" t="str">
        <f>+'Access-Out'!L18</f>
        <v>5</v>
      </c>
      <c r="K18" s="50"/>
      <c r="L18" s="50"/>
      <c r="M18" s="50"/>
      <c r="N18" s="50">
        <f t="shared" si="0"/>
        <v>0</v>
      </c>
      <c r="O18" s="50"/>
      <c r="P18" s="34">
        <f>'Access-Out'!M18</f>
        <v>0</v>
      </c>
      <c r="Q18" s="34"/>
      <c r="R18" s="34">
        <f t="shared" si="1"/>
        <v>0</v>
      </c>
      <c r="S18" s="39">
        <f>'Access-Out'!N18</f>
        <v>0</v>
      </c>
      <c r="T18" s="35">
        <f t="shared" si="2"/>
        <v>0</v>
      </c>
      <c r="U18" s="34">
        <f>'Access-Out'!O18</f>
        <v>0</v>
      </c>
      <c r="V18" s="35">
        <f t="shared" si="3"/>
        <v>0</v>
      </c>
      <c r="W18" s="34">
        <f>'Access-Out'!P18</f>
        <v>0</v>
      </c>
      <c r="X18" s="35">
        <f t="shared" si="4"/>
        <v>0</v>
      </c>
    </row>
    <row r="19" spans="1:24" ht="25.5" customHeight="1" x14ac:dyDescent="0.2">
      <c r="A19" s="31" t="str">
        <f>+'Access-Out'!A19</f>
        <v>12104</v>
      </c>
      <c r="B19" s="32" t="str">
        <f>+'Access-Out'!B19</f>
        <v>TRIBUNAL REGIONAL FEDERAL DA 3A. REGIAO</v>
      </c>
      <c r="C19" s="31" t="str">
        <f>CONCATENATE('Access-Out'!C19,".",'Access-Out'!D19)</f>
        <v>02.122</v>
      </c>
      <c r="D19" s="31" t="str">
        <f>CONCATENATE('Access-Out'!E19,".",'Access-Out'!G19)</f>
        <v>0569.12SU</v>
      </c>
      <c r="E19" s="32" t="str">
        <f>+'Access-Out'!F19</f>
        <v>PRESTACAO JURISDICIONAL NA JUSTICA FEDERAL</v>
      </c>
      <c r="F19" s="32" t="str">
        <f>+'Access-Out'!H19</f>
        <v>AQUISICAO DE EDIFICIO-ANEXO AO TRF 3. REGIAO EM SAO PAULO -</v>
      </c>
      <c r="G19" s="31" t="str">
        <f>IF('Access-Out'!I19="1","F","S")</f>
        <v>F</v>
      </c>
      <c r="H19" s="31" t="str">
        <f>+'Access-Out'!J19</f>
        <v>0188</v>
      </c>
      <c r="I19" s="32" t="str">
        <f>+'Access-Out'!K19</f>
        <v>REMUNERACAO DAS DISPONIB. DO TESOURO NACIONAL</v>
      </c>
      <c r="J19" s="31" t="str">
        <f>+'Access-Out'!L19</f>
        <v>5</v>
      </c>
      <c r="K19" s="50"/>
      <c r="L19" s="50"/>
      <c r="M19" s="50"/>
      <c r="N19" s="50">
        <f t="shared" si="0"/>
        <v>0</v>
      </c>
      <c r="O19" s="50"/>
      <c r="P19" s="34">
        <f>'Access-Out'!M19</f>
        <v>0</v>
      </c>
      <c r="Q19" s="34"/>
      <c r="R19" s="34">
        <f t="shared" si="1"/>
        <v>0</v>
      </c>
      <c r="S19" s="39">
        <f>'Access-Out'!N19</f>
        <v>0</v>
      </c>
      <c r="T19" s="35">
        <f t="shared" si="2"/>
        <v>0</v>
      </c>
      <c r="U19" s="34">
        <f>'Access-Out'!O19</f>
        <v>0</v>
      </c>
      <c r="V19" s="35">
        <f t="shared" si="3"/>
        <v>0</v>
      </c>
      <c r="W19" s="34">
        <f>'Access-Out'!P19</f>
        <v>0</v>
      </c>
      <c r="X19" s="35">
        <f t="shared" si="4"/>
        <v>0</v>
      </c>
    </row>
    <row r="20" spans="1:24" ht="25.5" customHeight="1" x14ac:dyDescent="0.2">
      <c r="A20" s="31" t="str">
        <f>+'Access-Out'!A20</f>
        <v>12104</v>
      </c>
      <c r="B20" s="32" t="str">
        <f>+'Access-Out'!B20</f>
        <v>TRIBUNAL REGIONAL FEDERAL DA 3A. REGIAO</v>
      </c>
      <c r="C20" s="31" t="str">
        <f>CONCATENATE('Access-Out'!C20,".",'Access-Out'!D20)</f>
        <v>02.122</v>
      </c>
      <c r="D20" s="31" t="str">
        <f>CONCATENATE('Access-Out'!E20,".",'Access-Out'!G20)</f>
        <v>0569.15HG</v>
      </c>
      <c r="E20" s="32" t="str">
        <f>+'Access-Out'!F20</f>
        <v>PRESTACAO JURISDICIONAL NA JUSTICA FEDERAL</v>
      </c>
      <c r="F20" s="32" t="str">
        <f>+'Access-Out'!H20</f>
        <v>AQUISICAO DE IMOVEIS PARA FUNCIONAMENTO DO TRF3 DA 3. REGIAO</v>
      </c>
      <c r="G20" s="31" t="str">
        <f>IF('Access-Out'!I20="1","F","S")</f>
        <v>F</v>
      </c>
      <c r="H20" s="31" t="str">
        <f>+'Access-Out'!J20</f>
        <v>0100</v>
      </c>
      <c r="I20" s="32" t="str">
        <f>+'Access-Out'!K20</f>
        <v>RECURSOS ORDINARIOS</v>
      </c>
      <c r="J20" s="31" t="str">
        <f>+'Access-Out'!L20</f>
        <v>5</v>
      </c>
      <c r="K20" s="50"/>
      <c r="L20" s="50"/>
      <c r="M20" s="50"/>
      <c r="N20" s="50">
        <f t="shared" si="0"/>
        <v>0</v>
      </c>
      <c r="O20" s="50"/>
      <c r="P20" s="34">
        <f>'Access-Out'!M20</f>
        <v>0</v>
      </c>
      <c r="Q20" s="34"/>
      <c r="R20" s="34">
        <f t="shared" si="1"/>
        <v>0</v>
      </c>
      <c r="S20" s="39">
        <f>'Access-Out'!N20</f>
        <v>0</v>
      </c>
      <c r="T20" s="35">
        <f t="shared" si="2"/>
        <v>0</v>
      </c>
      <c r="U20" s="34">
        <f>'Access-Out'!O20</f>
        <v>0</v>
      </c>
      <c r="V20" s="35">
        <f t="shared" si="3"/>
        <v>0</v>
      </c>
      <c r="W20" s="34">
        <f>'Access-Out'!P20</f>
        <v>0</v>
      </c>
      <c r="X20" s="35">
        <f t="shared" si="4"/>
        <v>0</v>
      </c>
    </row>
    <row r="21" spans="1:24" ht="25.5" customHeight="1" x14ac:dyDescent="0.2">
      <c r="A21" s="31" t="str">
        <f>+'Access-Out'!A21</f>
        <v>12104</v>
      </c>
      <c r="B21" s="32" t="str">
        <f>+'Access-Out'!B21</f>
        <v>TRIBUNAL REGIONAL FEDERAL DA 3A. REGIAO</v>
      </c>
      <c r="C21" s="31" t="str">
        <f>CONCATENATE('Access-Out'!C21,".",'Access-Out'!D21)</f>
        <v>02.122</v>
      </c>
      <c r="D21" s="31" t="str">
        <f>CONCATENATE('Access-Out'!E21,".",'Access-Out'!G21)</f>
        <v>0569.15HG</v>
      </c>
      <c r="E21" s="32" t="str">
        <f>+'Access-Out'!F21</f>
        <v>PRESTACAO JURISDICIONAL NA JUSTICA FEDERAL</v>
      </c>
      <c r="F21" s="32" t="str">
        <f>+'Access-Out'!H21</f>
        <v>AQUISICAO DE IMOVEIS PARA FUNCIONAMENTO DO TRF3 DA 3. REGIAO</v>
      </c>
      <c r="G21" s="31" t="str">
        <f>IF('Access-Out'!I21="1","F","S")</f>
        <v>F</v>
      </c>
      <c r="H21" s="31" t="str">
        <f>+'Access-Out'!J21</f>
        <v>0181</v>
      </c>
      <c r="I21" s="32" t="str">
        <f>+'Access-Out'!K21</f>
        <v>RECURSOS DE CONVENIOS</v>
      </c>
      <c r="J21" s="31" t="str">
        <f>+'Access-Out'!L21</f>
        <v>5</v>
      </c>
      <c r="K21" s="50"/>
      <c r="L21" s="50"/>
      <c r="M21" s="50"/>
      <c r="N21" s="50">
        <f t="shared" si="0"/>
        <v>0</v>
      </c>
      <c r="O21" s="50"/>
      <c r="P21" s="34">
        <f>'Access-Out'!M21</f>
        <v>8000000</v>
      </c>
      <c r="Q21" s="34"/>
      <c r="R21" s="34">
        <f t="shared" si="1"/>
        <v>8000000</v>
      </c>
      <c r="S21" s="39">
        <f>'Access-Out'!N21</f>
        <v>0</v>
      </c>
      <c r="T21" s="35">
        <f t="shared" si="2"/>
        <v>0</v>
      </c>
      <c r="U21" s="34">
        <f>'Access-Out'!O21</f>
        <v>0</v>
      </c>
      <c r="V21" s="35">
        <f t="shared" si="3"/>
        <v>0</v>
      </c>
      <c r="W21" s="34">
        <f>'Access-Out'!P21</f>
        <v>0</v>
      </c>
      <c r="X21" s="35">
        <f t="shared" si="4"/>
        <v>0</v>
      </c>
    </row>
    <row r="22" spans="1:24" ht="25.5" customHeight="1" x14ac:dyDescent="0.2">
      <c r="A22" s="31" t="str">
        <f>+'Access-Out'!A22</f>
        <v>12104</v>
      </c>
      <c r="B22" s="32" t="str">
        <f>+'Access-Out'!B22</f>
        <v>TRIBUNAL REGIONAL FEDERAL DA 3A. REGIAO</v>
      </c>
      <c r="C22" s="31" t="str">
        <f>CONCATENATE('Access-Out'!C22,".",'Access-Out'!D22)</f>
        <v>02.122</v>
      </c>
      <c r="D22" s="31" t="str">
        <f>CONCATENATE('Access-Out'!E22,".",'Access-Out'!G22)</f>
        <v>0569.15NZ</v>
      </c>
      <c r="E22" s="32" t="str">
        <f>+'Access-Out'!F22</f>
        <v>PRESTACAO JURISDICIONAL NA JUSTICA FEDERAL</v>
      </c>
      <c r="F22" s="32" t="str">
        <f>+'Access-Out'!H22</f>
        <v>REFORMA DO EDIFICIO-SEDE DO TRIBUNAL REGIONAL FEDERAL DA 3.</v>
      </c>
      <c r="G22" s="31" t="str">
        <f>IF('Access-Out'!I22="1","F","S")</f>
        <v>F</v>
      </c>
      <c r="H22" s="31" t="str">
        <f>+'Access-Out'!J22</f>
        <v>0100</v>
      </c>
      <c r="I22" s="32" t="str">
        <f>+'Access-Out'!K22</f>
        <v>RECURSOS ORDINARIOS</v>
      </c>
      <c r="J22" s="31" t="str">
        <f>+'Access-Out'!L22</f>
        <v>4</v>
      </c>
      <c r="K22" s="50"/>
      <c r="L22" s="50"/>
      <c r="M22" s="50"/>
      <c r="N22" s="50">
        <f t="shared" si="0"/>
        <v>0</v>
      </c>
      <c r="O22" s="50"/>
      <c r="P22" s="34">
        <f>'Access-Out'!M22</f>
        <v>0</v>
      </c>
      <c r="Q22" s="34"/>
      <c r="R22" s="34">
        <f t="shared" si="1"/>
        <v>0</v>
      </c>
      <c r="S22" s="39">
        <f>'Access-Out'!N22</f>
        <v>0</v>
      </c>
      <c r="T22" s="35">
        <f t="shared" si="2"/>
        <v>0</v>
      </c>
      <c r="U22" s="34">
        <f>'Access-Out'!O22</f>
        <v>0</v>
      </c>
      <c r="V22" s="35">
        <f t="shared" si="3"/>
        <v>0</v>
      </c>
      <c r="W22" s="34">
        <f>'Access-Out'!P22</f>
        <v>0</v>
      </c>
      <c r="X22" s="35">
        <f t="shared" si="4"/>
        <v>0</v>
      </c>
    </row>
    <row r="23" spans="1:24" ht="25.5" customHeight="1" x14ac:dyDescent="0.2">
      <c r="A23" s="31" t="str">
        <f>+'Access-Out'!A23</f>
        <v>12104</v>
      </c>
      <c r="B23" s="32" t="str">
        <f>+'Access-Out'!B23</f>
        <v>TRIBUNAL REGIONAL FEDERAL DA 3A. REGIAO</v>
      </c>
      <c r="C23" s="31" t="str">
        <f>CONCATENATE('Access-Out'!C23,".",'Access-Out'!D23)</f>
        <v>02.122</v>
      </c>
      <c r="D23" s="31" t="str">
        <f>CONCATENATE('Access-Out'!E23,".",'Access-Out'!G23)</f>
        <v>0569.20TP</v>
      </c>
      <c r="E23" s="32" t="str">
        <f>+'Access-Out'!F23</f>
        <v>PRESTACAO JURISDICIONAL NA JUSTICA FEDERAL</v>
      </c>
      <c r="F23" s="32" t="str">
        <f>+'Access-Out'!H23</f>
        <v>PESSOAL ATIVO DA UNIAO</v>
      </c>
      <c r="G23" s="31" t="str">
        <f>IF('Access-Out'!I23="1","F","S")</f>
        <v>F</v>
      </c>
      <c r="H23" s="31" t="str">
        <f>+'Access-Out'!J23</f>
        <v>0100</v>
      </c>
      <c r="I23" s="32" t="str">
        <f>+'Access-Out'!K23</f>
        <v>RECURSOS ORDINARIOS</v>
      </c>
      <c r="J23" s="31" t="str">
        <f>+'Access-Out'!L23</f>
        <v>1</v>
      </c>
      <c r="K23" s="50"/>
      <c r="L23" s="50"/>
      <c r="M23" s="50"/>
      <c r="N23" s="50">
        <f t="shared" si="0"/>
        <v>0</v>
      </c>
      <c r="O23" s="50"/>
      <c r="P23" s="34">
        <f>'Access-Out'!M23</f>
        <v>301563488.88999999</v>
      </c>
      <c r="Q23" s="34"/>
      <c r="R23" s="34">
        <f t="shared" si="1"/>
        <v>301563488.88999999</v>
      </c>
      <c r="S23" s="39">
        <f>'Access-Out'!N23</f>
        <v>301563488.88999999</v>
      </c>
      <c r="T23" s="35">
        <f t="shared" si="2"/>
        <v>1</v>
      </c>
      <c r="U23" s="34">
        <f>'Access-Out'!O23</f>
        <v>301563488.88999999</v>
      </c>
      <c r="V23" s="35">
        <f t="shared" si="3"/>
        <v>1</v>
      </c>
      <c r="W23" s="34">
        <f>'Access-Out'!P23</f>
        <v>299859923.61000001</v>
      </c>
      <c r="X23" s="35">
        <f t="shared" si="4"/>
        <v>0.99435089013504097</v>
      </c>
    </row>
    <row r="24" spans="1:24" ht="25.5" customHeight="1" x14ac:dyDescent="0.2">
      <c r="A24" s="31" t="str">
        <f>+'Access-Out'!A24</f>
        <v>12104</v>
      </c>
      <c r="B24" s="32" t="str">
        <f>+'Access-Out'!B24</f>
        <v>TRIBUNAL REGIONAL FEDERAL DA 3A. REGIAO</v>
      </c>
      <c r="C24" s="31" t="str">
        <f>CONCATENATE('Access-Out'!C24,".",'Access-Out'!D24)</f>
        <v>02.122</v>
      </c>
      <c r="D24" s="31" t="str">
        <f>CONCATENATE('Access-Out'!E24,".",'Access-Out'!G24)</f>
        <v>0569.216H</v>
      </c>
      <c r="E24" s="32" t="str">
        <f>+'Access-Out'!F24</f>
        <v>PRESTACAO JURISDICIONAL NA JUSTICA FEDERAL</v>
      </c>
      <c r="F24" s="32" t="str">
        <f>+'Access-Out'!H24</f>
        <v>AJUDA DE CUSTO PARA MORADIA OU AUXILIO-MORADIA A AGENTES PUB</v>
      </c>
      <c r="G24" s="31" t="str">
        <f>IF('Access-Out'!I24="1","F","S")</f>
        <v>F</v>
      </c>
      <c r="H24" s="31" t="str">
        <f>+'Access-Out'!J24</f>
        <v>0100</v>
      </c>
      <c r="I24" s="32" t="str">
        <f>+'Access-Out'!K24</f>
        <v>RECURSOS ORDINARIOS</v>
      </c>
      <c r="J24" s="31" t="str">
        <f>+'Access-Out'!L24</f>
        <v>3</v>
      </c>
      <c r="K24" s="50"/>
      <c r="L24" s="50"/>
      <c r="M24" s="50"/>
      <c r="N24" s="50">
        <f t="shared" si="0"/>
        <v>0</v>
      </c>
      <c r="O24" s="50"/>
      <c r="P24" s="34">
        <f>'Access-Out'!M24</f>
        <v>2303742</v>
      </c>
      <c r="Q24" s="34"/>
      <c r="R24" s="34">
        <f t="shared" si="1"/>
        <v>2303742</v>
      </c>
      <c r="S24" s="39">
        <f>'Access-Out'!N24</f>
        <v>1911439.97</v>
      </c>
      <c r="T24" s="35">
        <f t="shared" si="2"/>
        <v>0.82971095287579943</v>
      </c>
      <c r="U24" s="34">
        <f>'Access-Out'!O24</f>
        <v>1911439.97</v>
      </c>
      <c r="V24" s="35">
        <f t="shared" si="3"/>
        <v>0.82971095287579943</v>
      </c>
      <c r="W24" s="34">
        <f>'Access-Out'!P24</f>
        <v>1911439.97</v>
      </c>
      <c r="X24" s="35">
        <f t="shared" si="4"/>
        <v>0.82971095287579943</v>
      </c>
    </row>
    <row r="25" spans="1:24" ht="25.5" customHeight="1" x14ac:dyDescent="0.2">
      <c r="A25" s="31" t="str">
        <f>+'Access-Out'!A25</f>
        <v>12104</v>
      </c>
      <c r="B25" s="32" t="str">
        <f>+'Access-Out'!B25</f>
        <v>TRIBUNAL REGIONAL FEDERAL DA 3A. REGIAO</v>
      </c>
      <c r="C25" s="31" t="str">
        <f>CONCATENATE('Access-Out'!C25,".",'Access-Out'!D25)</f>
        <v>02.126</v>
      </c>
      <c r="D25" s="31" t="str">
        <f>CONCATENATE('Access-Out'!E25,".",'Access-Out'!G25)</f>
        <v>0569.151W</v>
      </c>
      <c r="E25" s="32" t="str">
        <f>+'Access-Out'!F25</f>
        <v>PRESTACAO JURISDICIONAL NA JUSTICA FEDERAL</v>
      </c>
      <c r="F25" s="32" t="str">
        <f>+'Access-Out'!H25</f>
        <v>DESENVOLVIMENTO E IMPLANTACAO DO SISTEMA PROCESSO JUDICIAL E</v>
      </c>
      <c r="G25" s="31" t="str">
        <f>IF('Access-Out'!I25="1","F","S")</f>
        <v>F</v>
      </c>
      <c r="H25" s="31" t="str">
        <f>+'Access-Out'!J25</f>
        <v>0100</v>
      </c>
      <c r="I25" s="32" t="str">
        <f>+'Access-Out'!K25</f>
        <v>RECURSOS ORDINARIOS</v>
      </c>
      <c r="J25" s="31" t="str">
        <f>+'Access-Out'!L25</f>
        <v>3</v>
      </c>
      <c r="K25" s="50"/>
      <c r="L25" s="50"/>
      <c r="M25" s="50"/>
      <c r="N25" s="50">
        <f t="shared" si="0"/>
        <v>0</v>
      </c>
      <c r="O25" s="50"/>
      <c r="P25" s="34">
        <f>'Access-Out'!M25</f>
        <v>850997</v>
      </c>
      <c r="Q25" s="34"/>
      <c r="R25" s="34">
        <f t="shared" si="1"/>
        <v>850997</v>
      </c>
      <c r="S25" s="39">
        <f>'Access-Out'!N25</f>
        <v>850888.2</v>
      </c>
      <c r="T25" s="35">
        <f t="shared" si="2"/>
        <v>0.99987214996057561</v>
      </c>
      <c r="U25" s="34">
        <f>'Access-Out'!O25</f>
        <v>705291.39</v>
      </c>
      <c r="V25" s="35">
        <f t="shared" si="3"/>
        <v>0.82878246339293793</v>
      </c>
      <c r="W25" s="34">
        <f>'Access-Out'!P25</f>
        <v>705291.39</v>
      </c>
      <c r="X25" s="35">
        <f t="shared" si="4"/>
        <v>0.82878246339293793</v>
      </c>
    </row>
    <row r="26" spans="1:24" ht="25.5" customHeight="1" x14ac:dyDescent="0.2">
      <c r="A26" s="31" t="str">
        <f>+'Access-Out'!A26</f>
        <v>12104</v>
      </c>
      <c r="B26" s="32" t="str">
        <f>+'Access-Out'!B26</f>
        <v>TRIBUNAL REGIONAL FEDERAL DA 3A. REGIAO</v>
      </c>
      <c r="C26" s="31" t="str">
        <f>CONCATENATE('Access-Out'!C26,".",'Access-Out'!D26)</f>
        <v>02.131</v>
      </c>
      <c r="D26" s="31" t="str">
        <f>CONCATENATE('Access-Out'!E26,".",'Access-Out'!G26)</f>
        <v>0569.2549</v>
      </c>
      <c r="E26" s="32" t="str">
        <f>+'Access-Out'!F26</f>
        <v>PRESTACAO JURISDICIONAL NA JUSTICA FEDERAL</v>
      </c>
      <c r="F26" s="32" t="str">
        <f>+'Access-Out'!H26</f>
        <v>COMUNICACAO E DIVULGACAO INSTITUCIONAL</v>
      </c>
      <c r="G26" s="31" t="str">
        <f>IF('Access-Out'!I26="1","F","S")</f>
        <v>F</v>
      </c>
      <c r="H26" s="31" t="str">
        <f>+'Access-Out'!J26</f>
        <v>0100</v>
      </c>
      <c r="I26" s="32" t="str">
        <f>+'Access-Out'!K26</f>
        <v>RECURSOS ORDINARIOS</v>
      </c>
      <c r="J26" s="31" t="str">
        <f>+'Access-Out'!L26</f>
        <v>3</v>
      </c>
      <c r="K26" s="50"/>
      <c r="L26" s="50"/>
      <c r="M26" s="50"/>
      <c r="N26" s="50">
        <f t="shared" si="0"/>
        <v>0</v>
      </c>
      <c r="O26" s="50"/>
      <c r="P26" s="34">
        <f>'Access-Out'!M26</f>
        <v>517525</v>
      </c>
      <c r="Q26" s="34"/>
      <c r="R26" s="34">
        <f t="shared" si="1"/>
        <v>517525</v>
      </c>
      <c r="S26" s="39">
        <f>'Access-Out'!N26</f>
        <v>420233</v>
      </c>
      <c r="T26" s="35">
        <f t="shared" si="2"/>
        <v>0.81200521713926865</v>
      </c>
      <c r="U26" s="34">
        <f>'Access-Out'!O26</f>
        <v>361180.36</v>
      </c>
      <c r="V26" s="35">
        <f t="shared" si="3"/>
        <v>0.69789934785759145</v>
      </c>
      <c r="W26" s="34">
        <f>'Access-Out'!P26</f>
        <v>361180.36</v>
      </c>
      <c r="X26" s="35">
        <f t="shared" si="4"/>
        <v>0.69789934785759145</v>
      </c>
    </row>
    <row r="27" spans="1:24" ht="25.5" customHeight="1" x14ac:dyDescent="0.2">
      <c r="A27" s="31" t="str">
        <f>+'Access-Out'!A27</f>
        <v>12104</v>
      </c>
      <c r="B27" s="32" t="str">
        <f>+'Access-Out'!B27</f>
        <v>TRIBUNAL REGIONAL FEDERAL DA 3A. REGIAO</v>
      </c>
      <c r="C27" s="31" t="str">
        <f>CONCATENATE('Access-Out'!C27,".",'Access-Out'!D27)</f>
        <v>02.301</v>
      </c>
      <c r="D27" s="31" t="str">
        <f>CONCATENATE('Access-Out'!E27,".",'Access-Out'!G27)</f>
        <v>0569.2004</v>
      </c>
      <c r="E27" s="32" t="str">
        <f>+'Access-Out'!F27</f>
        <v>PRESTACAO JURISDICIONAL NA JUSTICA FEDERAL</v>
      </c>
      <c r="F27" s="32" t="str">
        <f>+'Access-Out'!H27</f>
        <v>ASSISTENCIA MEDICA E ODONTOLOGICA AOS SERVIDORES CIVIS, EMPR</v>
      </c>
      <c r="G27" s="31" t="str">
        <f>IF('Access-Out'!I27="1","F","S")</f>
        <v>S</v>
      </c>
      <c r="H27" s="31" t="str">
        <f>+'Access-Out'!J27</f>
        <v>0100</v>
      </c>
      <c r="I27" s="32" t="str">
        <f>+'Access-Out'!K27</f>
        <v>RECURSOS ORDINARIOS</v>
      </c>
      <c r="J27" s="31" t="str">
        <f>+'Access-Out'!L27</f>
        <v>4</v>
      </c>
      <c r="K27" s="50"/>
      <c r="L27" s="50"/>
      <c r="M27" s="50"/>
      <c r="N27" s="50">
        <f t="shared" si="0"/>
        <v>0</v>
      </c>
      <c r="O27" s="50"/>
      <c r="P27" s="34">
        <f>'Access-Out'!M27</f>
        <v>15000</v>
      </c>
      <c r="Q27" s="34"/>
      <c r="R27" s="34">
        <f t="shared" si="1"/>
        <v>15000</v>
      </c>
      <c r="S27" s="34">
        <f>'Access-Out'!N27</f>
        <v>0</v>
      </c>
      <c r="T27" s="35">
        <f t="shared" si="2"/>
        <v>0</v>
      </c>
      <c r="U27" s="34">
        <f>'Access-Out'!O27</f>
        <v>0</v>
      </c>
      <c r="V27" s="35">
        <f t="shared" si="3"/>
        <v>0</v>
      </c>
      <c r="W27" s="34">
        <f>'Access-Out'!P27</f>
        <v>0</v>
      </c>
      <c r="X27" s="35">
        <f t="shared" si="4"/>
        <v>0</v>
      </c>
    </row>
    <row r="28" spans="1:24" ht="25.5" customHeight="1" x14ac:dyDescent="0.2">
      <c r="A28" s="31" t="str">
        <f>+'Access-Out'!A28</f>
        <v>12104</v>
      </c>
      <c r="B28" s="32" t="str">
        <f>+'Access-Out'!B28</f>
        <v>TRIBUNAL REGIONAL FEDERAL DA 3A. REGIAO</v>
      </c>
      <c r="C28" s="31" t="str">
        <f>CONCATENATE('Access-Out'!C28,".",'Access-Out'!D28)</f>
        <v>02.301</v>
      </c>
      <c r="D28" s="31" t="str">
        <f>CONCATENATE('Access-Out'!E28,".",'Access-Out'!G28)</f>
        <v>0569.2004</v>
      </c>
      <c r="E28" s="32" t="str">
        <f>+'Access-Out'!F28</f>
        <v>PRESTACAO JURISDICIONAL NA JUSTICA FEDERAL</v>
      </c>
      <c r="F28" s="32" t="str">
        <f>+'Access-Out'!H28</f>
        <v>ASSISTENCIA MEDICA E ODONTOLOGICA AOS SERVIDORES CIVIS, EMPR</v>
      </c>
      <c r="G28" s="31" t="str">
        <f>IF('Access-Out'!I28="1","F","S")</f>
        <v>S</v>
      </c>
      <c r="H28" s="31" t="str">
        <f>+'Access-Out'!J28</f>
        <v>0100</v>
      </c>
      <c r="I28" s="32" t="str">
        <f>+'Access-Out'!K28</f>
        <v>RECURSOS ORDINARIOS</v>
      </c>
      <c r="J28" s="31" t="str">
        <f>+'Access-Out'!L28</f>
        <v>3</v>
      </c>
      <c r="K28" s="50"/>
      <c r="L28" s="50"/>
      <c r="M28" s="50"/>
      <c r="N28" s="50">
        <f t="shared" si="0"/>
        <v>0</v>
      </c>
      <c r="O28" s="50"/>
      <c r="P28" s="34">
        <f>'Access-Out'!M28</f>
        <v>12317400</v>
      </c>
      <c r="Q28" s="34"/>
      <c r="R28" s="34">
        <f t="shared" si="1"/>
        <v>12317400</v>
      </c>
      <c r="S28" s="34">
        <f>'Access-Out'!N28</f>
        <v>11891956.560000001</v>
      </c>
      <c r="T28" s="35">
        <f t="shared" si="2"/>
        <v>0.96545996395343181</v>
      </c>
      <c r="U28" s="34">
        <f>'Access-Out'!O28</f>
        <v>9087837.3599999994</v>
      </c>
      <c r="V28" s="35">
        <f t="shared" si="3"/>
        <v>0.73780484193092688</v>
      </c>
      <c r="W28" s="34">
        <f>'Access-Out'!P28</f>
        <v>9087837.3599999994</v>
      </c>
      <c r="X28" s="35">
        <f t="shared" si="4"/>
        <v>0.73780484193092688</v>
      </c>
    </row>
    <row r="29" spans="1:24" ht="25.5" customHeight="1" x14ac:dyDescent="0.2">
      <c r="A29" s="31" t="str">
        <f>+'Access-Out'!A29</f>
        <v>12104</v>
      </c>
      <c r="B29" s="32" t="str">
        <f>+'Access-Out'!B29</f>
        <v>TRIBUNAL REGIONAL FEDERAL DA 3A. REGIAO</v>
      </c>
      <c r="C29" s="31" t="str">
        <f>CONCATENATE('Access-Out'!C29,".",'Access-Out'!D29)</f>
        <v>02.331</v>
      </c>
      <c r="D29" s="31" t="str">
        <f>CONCATENATE('Access-Out'!E29,".",'Access-Out'!G29)</f>
        <v>0569.00M1</v>
      </c>
      <c r="E29" s="32" t="str">
        <f>+'Access-Out'!F29</f>
        <v>PRESTACAO JURISDICIONAL NA JUSTICA FEDERAL</v>
      </c>
      <c r="F29" s="32" t="str">
        <f>+'Access-Out'!H29</f>
        <v>BENEFICIOS ASSISTENCIAIS DECORRENTES DO AUXILIO-FUNERAL E NA</v>
      </c>
      <c r="G29" s="31" t="str">
        <f>IF('Access-Out'!I29="1","F","S")</f>
        <v>F</v>
      </c>
      <c r="H29" s="31" t="str">
        <f>+'Access-Out'!J29</f>
        <v>0100</v>
      </c>
      <c r="I29" s="32" t="str">
        <f>+'Access-Out'!K29</f>
        <v>RECURSOS ORDINARIOS</v>
      </c>
      <c r="J29" s="31" t="str">
        <f>+'Access-Out'!L29</f>
        <v>3</v>
      </c>
      <c r="K29" s="50"/>
      <c r="L29" s="50"/>
      <c r="M29" s="50"/>
      <c r="N29" s="50">
        <f t="shared" si="0"/>
        <v>0</v>
      </c>
      <c r="O29" s="50"/>
      <c r="P29" s="34">
        <f>'Access-Out'!M29</f>
        <v>93546.93</v>
      </c>
      <c r="Q29" s="34"/>
      <c r="R29" s="34">
        <f t="shared" si="1"/>
        <v>93546.93</v>
      </c>
      <c r="S29" s="34">
        <f>'Access-Out'!N29</f>
        <v>93546.93</v>
      </c>
      <c r="T29" s="35">
        <f t="shared" si="2"/>
        <v>1</v>
      </c>
      <c r="U29" s="34">
        <f>'Access-Out'!O29</f>
        <v>93546.93</v>
      </c>
      <c r="V29" s="35">
        <f t="shared" si="3"/>
        <v>1</v>
      </c>
      <c r="W29" s="34">
        <f>'Access-Out'!P29</f>
        <v>93546.93</v>
      </c>
      <c r="X29" s="35">
        <f t="shared" si="4"/>
        <v>1</v>
      </c>
    </row>
    <row r="30" spans="1:24" ht="25.5" customHeight="1" x14ac:dyDescent="0.2">
      <c r="A30" s="31" t="str">
        <f>+'Access-Out'!A30</f>
        <v>12104</v>
      </c>
      <c r="B30" s="32" t="str">
        <f>+'Access-Out'!B30</f>
        <v>TRIBUNAL REGIONAL FEDERAL DA 3A. REGIAO</v>
      </c>
      <c r="C30" s="31" t="str">
        <f>CONCATENATE('Access-Out'!C30,".",'Access-Out'!D30)</f>
        <v>02.331</v>
      </c>
      <c r="D30" s="31" t="str">
        <f>CONCATENATE('Access-Out'!E30,".",'Access-Out'!G30)</f>
        <v>0569.2010</v>
      </c>
      <c r="E30" s="32" t="str">
        <f>+'Access-Out'!F30</f>
        <v>PRESTACAO JURISDICIONAL NA JUSTICA FEDERAL</v>
      </c>
      <c r="F30" s="32" t="str">
        <f>+'Access-Out'!H30</f>
        <v>ASSISTENCIA PRE-ESCOLAR AOS DEPENDENTES DOS SERVIDORES CIVIS</v>
      </c>
      <c r="G30" s="31" t="str">
        <f>IF('Access-Out'!I30="1","F","S")</f>
        <v>F</v>
      </c>
      <c r="H30" s="31" t="str">
        <f>+'Access-Out'!J30</f>
        <v>0100</v>
      </c>
      <c r="I30" s="32" t="str">
        <f>+'Access-Out'!K30</f>
        <v>RECURSOS ORDINARIOS</v>
      </c>
      <c r="J30" s="31" t="str">
        <f>+'Access-Out'!L30</f>
        <v>3</v>
      </c>
      <c r="K30" s="50"/>
      <c r="L30" s="50"/>
      <c r="M30" s="50"/>
      <c r="N30" s="50">
        <f t="shared" si="0"/>
        <v>0</v>
      </c>
      <c r="O30" s="50"/>
      <c r="P30" s="34">
        <f>'Access-Out'!M30</f>
        <v>2135448</v>
      </c>
      <c r="Q30" s="34"/>
      <c r="R30" s="34">
        <f t="shared" si="1"/>
        <v>2135448</v>
      </c>
      <c r="S30" s="34">
        <f>'Access-Out'!N30</f>
        <v>2135448</v>
      </c>
      <c r="T30" s="35">
        <f t="shared" si="2"/>
        <v>1</v>
      </c>
      <c r="U30" s="34">
        <f>'Access-Out'!O30</f>
        <v>1782450</v>
      </c>
      <c r="V30" s="35">
        <f t="shared" si="3"/>
        <v>0.83469604504534878</v>
      </c>
      <c r="W30" s="34">
        <f>'Access-Out'!P30</f>
        <v>1782450</v>
      </c>
      <c r="X30" s="35">
        <f t="shared" si="4"/>
        <v>0.83469604504534878</v>
      </c>
    </row>
    <row r="31" spans="1:24" ht="25.5" customHeight="1" x14ac:dyDescent="0.2">
      <c r="A31" s="31" t="str">
        <f>+'Access-Out'!A31</f>
        <v>12104</v>
      </c>
      <c r="B31" s="32" t="str">
        <f>+'Access-Out'!B31</f>
        <v>TRIBUNAL REGIONAL FEDERAL DA 3A. REGIAO</v>
      </c>
      <c r="C31" s="31" t="str">
        <f>CONCATENATE('Access-Out'!C31,".",'Access-Out'!D31)</f>
        <v>02.331</v>
      </c>
      <c r="D31" s="31" t="str">
        <f>CONCATENATE('Access-Out'!E31,".",'Access-Out'!G31)</f>
        <v>0569.2011</v>
      </c>
      <c r="E31" s="32" t="str">
        <f>+'Access-Out'!F31</f>
        <v>PRESTACAO JURISDICIONAL NA JUSTICA FEDERAL</v>
      </c>
      <c r="F31" s="32" t="str">
        <f>+'Access-Out'!H31</f>
        <v>AUXILIO-TRANSPORTE AOS SERVIDORES CIVIS, EMPREGADOS E MILITA</v>
      </c>
      <c r="G31" s="31" t="str">
        <f>IF('Access-Out'!I31="1","F","S")</f>
        <v>F</v>
      </c>
      <c r="H31" s="31" t="str">
        <f>+'Access-Out'!J31</f>
        <v>0100</v>
      </c>
      <c r="I31" s="32" t="str">
        <f>+'Access-Out'!K31</f>
        <v>RECURSOS ORDINARIOS</v>
      </c>
      <c r="J31" s="31" t="str">
        <f>+'Access-Out'!L31</f>
        <v>3</v>
      </c>
      <c r="K31" s="50"/>
      <c r="L31" s="50"/>
      <c r="M31" s="50"/>
      <c r="N31" s="50">
        <f t="shared" ref="N31" si="5">+K31+L31-M31</f>
        <v>0</v>
      </c>
      <c r="O31" s="50"/>
      <c r="P31" s="34">
        <f>'Access-Out'!M31</f>
        <v>1236000</v>
      </c>
      <c r="Q31" s="34"/>
      <c r="R31" s="34">
        <f t="shared" ref="R31" si="6">N31-O31+P31</f>
        <v>1236000</v>
      </c>
      <c r="S31" s="34">
        <f>'Access-Out'!N31</f>
        <v>1236000</v>
      </c>
      <c r="T31" s="35">
        <f t="shared" ref="T31" si="7">IF(R31&gt;0,S31/R31,0)</f>
        <v>1</v>
      </c>
      <c r="U31" s="34">
        <f>'Access-Out'!O31</f>
        <v>858583.65</v>
      </c>
      <c r="V31" s="35">
        <f t="shared" ref="V31" si="8">IF(R31&gt;0,U31/R31,0)</f>
        <v>0.69464696601941744</v>
      </c>
      <c r="W31" s="34">
        <f>'Access-Out'!P31</f>
        <v>858583.65</v>
      </c>
      <c r="X31" s="35">
        <f t="shared" ref="X31" si="9">IF(R31&gt;0,W31/R31,0)</f>
        <v>0.69464696601941744</v>
      </c>
    </row>
    <row r="32" spans="1:24" ht="25.5" customHeight="1" x14ac:dyDescent="0.2">
      <c r="A32" s="31" t="str">
        <f>+'Access-Out'!A32</f>
        <v>12104</v>
      </c>
      <c r="B32" s="32" t="str">
        <f>+'Access-Out'!B32</f>
        <v>TRIBUNAL REGIONAL FEDERAL DA 3A. REGIAO</v>
      </c>
      <c r="C32" s="31" t="str">
        <f>CONCATENATE('Access-Out'!C32,".",'Access-Out'!D32)</f>
        <v>02.331</v>
      </c>
      <c r="D32" s="31" t="str">
        <f>CONCATENATE('Access-Out'!E32,".",'Access-Out'!G32)</f>
        <v>0569.2012</v>
      </c>
      <c r="E32" s="32" t="str">
        <f>+'Access-Out'!F32</f>
        <v>PRESTACAO JURISDICIONAL NA JUSTICA FEDERAL</v>
      </c>
      <c r="F32" s="32" t="str">
        <f>+'Access-Out'!H32</f>
        <v>AUXILIO-ALIMENTACAO AOS SERVIDORES CIVIS, EMPREGADOS E MILIT</v>
      </c>
      <c r="G32" s="31" t="str">
        <f>IF('Access-Out'!I32="1","F","S")</f>
        <v>F</v>
      </c>
      <c r="H32" s="31" t="str">
        <f>+'Access-Out'!J32</f>
        <v>0100</v>
      </c>
      <c r="I32" s="32" t="str">
        <f>+'Access-Out'!K32</f>
        <v>RECURSOS ORDINARIOS</v>
      </c>
      <c r="J32" s="31" t="str">
        <f>+'Access-Out'!L32</f>
        <v>3</v>
      </c>
      <c r="K32" s="50"/>
      <c r="L32" s="50"/>
      <c r="M32" s="50"/>
      <c r="N32" s="50">
        <f t="shared" ref="N32:N35" si="10">+K32+L32-M32</f>
        <v>0</v>
      </c>
      <c r="O32" s="50"/>
      <c r="P32" s="34">
        <f>'Access-Out'!M32</f>
        <v>19565248</v>
      </c>
      <c r="Q32" s="34"/>
      <c r="R32" s="34">
        <f t="shared" ref="R32:R35" si="11">N32-O32+P32</f>
        <v>19565248</v>
      </c>
      <c r="S32" s="34">
        <f>'Access-Out'!N32</f>
        <v>19565248</v>
      </c>
      <c r="T32" s="35">
        <f t="shared" ref="T32:T35" si="12">IF(R32&gt;0,S32/R32,0)</f>
        <v>1</v>
      </c>
      <c r="U32" s="34">
        <f>'Access-Out'!O32</f>
        <v>16163413.1</v>
      </c>
      <c r="V32" s="35">
        <f t="shared" ref="V32:V35" si="13">IF(R32&gt;0,U32/R32,0)</f>
        <v>0.82612871045641745</v>
      </c>
      <c r="W32" s="34">
        <f>'Access-Out'!P32</f>
        <v>16163413.1</v>
      </c>
      <c r="X32" s="35">
        <f t="shared" ref="X32:X35" si="14">IF(R32&gt;0,W32/R32,0)</f>
        <v>0.82612871045641745</v>
      </c>
    </row>
    <row r="33" spans="1:24" ht="25.5" customHeight="1" x14ac:dyDescent="0.2">
      <c r="A33" s="31" t="str">
        <f>+'Access-Out'!A33</f>
        <v>12104</v>
      </c>
      <c r="B33" s="32" t="str">
        <f>+'Access-Out'!B33</f>
        <v>TRIBUNAL REGIONAL FEDERAL DA 3A. REGIAO</v>
      </c>
      <c r="C33" s="31" t="str">
        <f>CONCATENATE('Access-Out'!C33,".",'Access-Out'!D33)</f>
        <v>02.846</v>
      </c>
      <c r="D33" s="31" t="str">
        <f>CONCATENATE('Access-Out'!E33,".",'Access-Out'!G33)</f>
        <v>0569.09HB</v>
      </c>
      <c r="E33" s="32" t="str">
        <f>+'Access-Out'!F33</f>
        <v>PRESTACAO JURISDICIONAL NA JUSTICA FEDERAL</v>
      </c>
      <c r="F33" s="32" t="str">
        <f>+'Access-Out'!H33</f>
        <v>CONTRIBUICAO DA UNIAO, DE SUAS AUTARQUIAS E FUNDACOES PARA O</v>
      </c>
      <c r="G33" s="31" t="str">
        <f>IF('Access-Out'!I33="1","F","S")</f>
        <v>F</v>
      </c>
      <c r="H33" s="31" t="str">
        <f>+'Access-Out'!J33</f>
        <v>0100</v>
      </c>
      <c r="I33" s="32" t="str">
        <f>+'Access-Out'!K33</f>
        <v>RECURSOS ORDINARIOS</v>
      </c>
      <c r="J33" s="31" t="str">
        <f>+'Access-Out'!L33</f>
        <v>1</v>
      </c>
      <c r="K33" s="50"/>
      <c r="L33" s="50"/>
      <c r="M33" s="50"/>
      <c r="N33" s="50">
        <f t="shared" si="10"/>
        <v>0</v>
      </c>
      <c r="O33" s="50"/>
      <c r="P33" s="34">
        <f>'Access-Out'!M33</f>
        <v>50606920.289999999</v>
      </c>
      <c r="Q33" s="34"/>
      <c r="R33" s="34">
        <f t="shared" si="11"/>
        <v>50606920.289999999</v>
      </c>
      <c r="S33" s="34">
        <f>'Access-Out'!N33</f>
        <v>50606920.289999999</v>
      </c>
      <c r="T33" s="35">
        <f t="shared" si="12"/>
        <v>1</v>
      </c>
      <c r="U33" s="34">
        <f>'Access-Out'!O33</f>
        <v>50606920.289999999</v>
      </c>
      <c r="V33" s="35">
        <f t="shared" si="13"/>
        <v>1</v>
      </c>
      <c r="W33" s="34">
        <f>'Access-Out'!P33</f>
        <v>50606920.289999999</v>
      </c>
      <c r="X33" s="35">
        <f t="shared" si="14"/>
        <v>1</v>
      </c>
    </row>
    <row r="34" spans="1:24" ht="25.5" customHeight="1" x14ac:dyDescent="0.2">
      <c r="A34" s="31" t="str">
        <f>+'Access-Out'!A34</f>
        <v>12104</v>
      </c>
      <c r="B34" s="32" t="str">
        <f>+'Access-Out'!B34</f>
        <v>TRIBUNAL REGIONAL FEDERAL DA 3A. REGIAO</v>
      </c>
      <c r="C34" s="31" t="str">
        <f>CONCATENATE('Access-Out'!C34,".",'Access-Out'!D34)</f>
        <v>09.272</v>
      </c>
      <c r="D34" s="31" t="str">
        <f>CONCATENATE('Access-Out'!E34,".",'Access-Out'!G34)</f>
        <v>0089.0181</v>
      </c>
      <c r="E34" s="32" t="str">
        <f>+'Access-Out'!F34</f>
        <v>PREVIDENCIA DE INATIVOS E PENSIONISTAS DA UNIAO</v>
      </c>
      <c r="F34" s="32" t="str">
        <f>+'Access-Out'!H34</f>
        <v>APOSENTADORIAS E PENSOES - SERVIDORES CIVIS</v>
      </c>
      <c r="G34" s="31" t="str">
        <f>IF('Access-Out'!I34="1","F","S")</f>
        <v>S</v>
      </c>
      <c r="H34" s="31" t="str">
        <f>+'Access-Out'!J34</f>
        <v>0156</v>
      </c>
      <c r="I34" s="32" t="str">
        <f>+'Access-Out'!K34</f>
        <v>CONTRIBUICAO PLANO SEGURIDADE SOCIAL SERVIDOR</v>
      </c>
      <c r="J34" s="31" t="str">
        <f>+'Access-Out'!L34</f>
        <v>1</v>
      </c>
      <c r="K34" s="50"/>
      <c r="L34" s="50"/>
      <c r="M34" s="50"/>
      <c r="N34" s="50">
        <f t="shared" si="10"/>
        <v>0</v>
      </c>
      <c r="O34" s="50"/>
      <c r="P34" s="34">
        <f>'Access-Out'!M34</f>
        <v>26589416.050000001</v>
      </c>
      <c r="Q34" s="34"/>
      <c r="R34" s="34">
        <f t="shared" si="11"/>
        <v>26589416.050000001</v>
      </c>
      <c r="S34" s="34">
        <f>'Access-Out'!N34</f>
        <v>26589416.050000001</v>
      </c>
      <c r="T34" s="35">
        <f t="shared" si="12"/>
        <v>1</v>
      </c>
      <c r="U34" s="34">
        <f>'Access-Out'!O34</f>
        <v>26589416.050000001</v>
      </c>
      <c r="V34" s="35">
        <f t="shared" si="13"/>
        <v>1</v>
      </c>
      <c r="W34" s="34">
        <f>'Access-Out'!P34</f>
        <v>26102719.879999999</v>
      </c>
      <c r="X34" s="35">
        <f t="shared" si="14"/>
        <v>0.98169586842054768</v>
      </c>
    </row>
    <row r="35" spans="1:24" ht="25.5" customHeight="1" thickBot="1" x14ac:dyDescent="0.25">
      <c r="A35" s="31" t="str">
        <f>+'Access-Out'!A35</f>
        <v>12104</v>
      </c>
      <c r="B35" s="32" t="str">
        <f>+'Access-Out'!B35</f>
        <v>TRIBUNAL REGIONAL FEDERAL DA 3A. REGIAO</v>
      </c>
      <c r="C35" s="31" t="str">
        <f>CONCATENATE('Access-Out'!C35,".",'Access-Out'!D35)</f>
        <v>09.272</v>
      </c>
      <c r="D35" s="31" t="str">
        <f>CONCATENATE('Access-Out'!E35,".",'Access-Out'!G35)</f>
        <v>0089.0181</v>
      </c>
      <c r="E35" s="32" t="str">
        <f>+'Access-Out'!F35</f>
        <v>PREVIDENCIA DE INATIVOS E PENSIONISTAS DA UNIAO</v>
      </c>
      <c r="F35" s="32" t="str">
        <f>+'Access-Out'!H35</f>
        <v>APOSENTADORIAS E PENSOES - SERVIDORES CIVIS</v>
      </c>
      <c r="G35" s="31" t="str">
        <f>IF('Access-Out'!I35="1","F","S")</f>
        <v>S</v>
      </c>
      <c r="H35" s="31" t="str">
        <f>+'Access-Out'!J35</f>
        <v>0169</v>
      </c>
      <c r="I35" s="32" t="str">
        <f>+'Access-Out'!K35</f>
        <v>CONTRIB.PATRONAL P/PLANO DE SEGURID.SOC.SERV.</v>
      </c>
      <c r="J35" s="31" t="str">
        <f>+'Access-Out'!L35</f>
        <v>1</v>
      </c>
      <c r="K35" s="50"/>
      <c r="L35" s="50"/>
      <c r="M35" s="50"/>
      <c r="N35" s="50">
        <f t="shared" si="10"/>
        <v>0</v>
      </c>
      <c r="O35" s="50"/>
      <c r="P35" s="34">
        <f>'Access-Out'!M35</f>
        <v>55200000</v>
      </c>
      <c r="Q35" s="34"/>
      <c r="R35" s="34">
        <f t="shared" si="11"/>
        <v>55200000</v>
      </c>
      <c r="S35" s="34">
        <f>'Access-Out'!N35</f>
        <v>55200000</v>
      </c>
      <c r="T35" s="35">
        <f t="shared" si="12"/>
        <v>1</v>
      </c>
      <c r="U35" s="34">
        <f>'Access-Out'!O35</f>
        <v>55200000</v>
      </c>
      <c r="V35" s="35">
        <f t="shared" si="13"/>
        <v>1</v>
      </c>
      <c r="W35" s="34">
        <f>'Access-Out'!P35</f>
        <v>55200000</v>
      </c>
      <c r="X35" s="35">
        <f t="shared" si="14"/>
        <v>1</v>
      </c>
    </row>
    <row r="36" spans="1:24" ht="25.5" customHeight="1" thickBot="1" x14ac:dyDescent="0.25">
      <c r="A36" s="86" t="s">
        <v>113</v>
      </c>
      <c r="B36" s="87"/>
      <c r="C36" s="87"/>
      <c r="D36" s="87"/>
      <c r="E36" s="87"/>
      <c r="F36" s="87"/>
      <c r="G36" s="87"/>
      <c r="H36" s="87"/>
      <c r="I36" s="87"/>
      <c r="J36" s="8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SUM(P9:P35)</f>
        <v>543745471.16000009</v>
      </c>
      <c r="Q36" s="52">
        <f>SUM(Q9:Q35)</f>
        <v>0</v>
      </c>
      <c r="R36" s="52">
        <f>SUM(R9:R35)</f>
        <v>543745471.16000009</v>
      </c>
      <c r="S36" s="52">
        <f>SUM(S9:S35)</f>
        <v>524818989.29000002</v>
      </c>
      <c r="T36" s="43">
        <f t="shared" si="2"/>
        <v>0.96519238711152255</v>
      </c>
      <c r="U36" s="52">
        <f>SUM(U9:U35)</f>
        <v>498721415.42000008</v>
      </c>
      <c r="V36" s="43">
        <f t="shared" si="3"/>
        <v>0.91719644920637611</v>
      </c>
      <c r="W36" s="52">
        <f>SUM(W9:W35)</f>
        <v>495898968.92000008</v>
      </c>
      <c r="X36" s="43">
        <f t="shared" si="4"/>
        <v>0.91200569976624057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SUM(P9:P35)</f>
        <v>543745471.16000009</v>
      </c>
      <c r="Q41" s="54"/>
      <c r="R41" s="54">
        <f>SUM(R9:R35)</f>
        <v>543745471.16000009</v>
      </c>
      <c r="S41" s="54">
        <f>SUM(S9:S35)</f>
        <v>524818989.29000002</v>
      </c>
      <c r="T41" s="54"/>
      <c r="U41" s="54">
        <f>SUM(U9:U35)</f>
        <v>498721415.42000008</v>
      </c>
      <c r="V41" s="54"/>
      <c r="W41" s="54">
        <f>SUM(W9:W35)</f>
        <v>495898968.92000008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'Access-Out'!M37</f>
        <v>543745471.16000009</v>
      </c>
      <c r="Q42" s="37"/>
      <c r="R42" s="37">
        <f>'Access-Out'!M37</f>
        <v>543745471.16000009</v>
      </c>
      <c r="S42" s="37">
        <f>'Access-Out'!N37</f>
        <v>524818989.29000002</v>
      </c>
      <c r="T42" s="37"/>
      <c r="U42" s="37">
        <f>'Access-Out'!O37</f>
        <v>498721415.42000008</v>
      </c>
      <c r="V42" s="37"/>
      <c r="W42" s="37">
        <f>'Access-Out'!P37</f>
        <v>495898968.92000008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P44" s="42"/>
      <c r="Q44" s="41"/>
      <c r="R44" s="42"/>
      <c r="S44" s="41"/>
      <c r="T44" s="42"/>
      <c r="U44" s="40"/>
      <c r="V44" s="40"/>
      <c r="W44" s="40"/>
    </row>
  </sheetData>
  <mergeCells count="17">
    <mergeCell ref="A5:X5"/>
    <mergeCell ref="A6:J6"/>
    <mergeCell ref="K6:K7"/>
    <mergeCell ref="L6:M6"/>
    <mergeCell ref="R6:R7"/>
    <mergeCell ref="S6:X6"/>
    <mergeCell ref="A7:B7"/>
    <mergeCell ref="C7:C8"/>
    <mergeCell ref="D7:D8"/>
    <mergeCell ref="E7:F7"/>
    <mergeCell ref="P6:Q6"/>
    <mergeCell ref="G7:G8"/>
    <mergeCell ref="H7:I7"/>
    <mergeCell ref="J7:J8"/>
    <mergeCell ref="A36:J36"/>
    <mergeCell ref="N6:N7"/>
    <mergeCell ref="O6:O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showGridLines="0" view="pageBreakPreview" topLeftCell="G28" zoomScale="70" zoomScaleNormal="100" zoomScaleSheetLayoutView="70" workbookViewId="0">
      <selection activeCell="A33" sqref="A33:XFD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9.85546875" style="3" customWidth="1"/>
    <col min="17" max="17" width="11" style="1" customWidth="1"/>
    <col min="18" max="18" width="18.5703125" style="3" customWidth="1"/>
    <col min="19" max="19" width="13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4" width="17.85546875" style="4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43040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+'Access-Nov'!A10</f>
        <v>12101</v>
      </c>
      <c r="B10" s="25" t="str">
        <f>+'Access-Nov'!B10</f>
        <v>JUSTICA FEDERAL DE PRIMEIRO GRAU</v>
      </c>
      <c r="C10" s="26" t="str">
        <f>CONCATENATE('Access-Nov'!C10,".",'Access-Nov'!D10)</f>
        <v>02.061</v>
      </c>
      <c r="D10" s="26" t="str">
        <f>CONCATENATE('Access-Nov'!E10,".",'Access-Nov'!G10)</f>
        <v>0569.4257</v>
      </c>
      <c r="E10" s="25" t="str">
        <f>+'Access-Nov'!F10</f>
        <v>PRESTACAO JURISDICIONAL NA JUSTICA FEDERAL</v>
      </c>
      <c r="F10" s="27" t="str">
        <f>+'Access-Nov'!H10</f>
        <v>JULGAMENTO DE CAUSAS NA JUSTICA FEDERAL</v>
      </c>
      <c r="G10" s="24" t="str">
        <f>IF('Access-Nov'!I10="1","F","S")</f>
        <v>F</v>
      </c>
      <c r="H10" s="24" t="str">
        <f>+'Access-Nov'!J10</f>
        <v>0100</v>
      </c>
      <c r="I10" s="28" t="str">
        <f>+'Access-Nov'!K10</f>
        <v>RECURSOS ORDINARIOS</v>
      </c>
      <c r="J10" s="24" t="str">
        <f>+'Access-Nov'!L10</f>
        <v>4</v>
      </c>
      <c r="K10" s="47"/>
      <c r="L10" s="48"/>
      <c r="M10" s="48"/>
      <c r="N10" s="49">
        <f>+K10+L10-M10</f>
        <v>0</v>
      </c>
      <c r="O10" s="47"/>
      <c r="P10" s="29">
        <f>'Access-Nov'!M10</f>
        <v>730000</v>
      </c>
      <c r="Q10" s="29"/>
      <c r="R10" s="29">
        <f>N10-O10+P10</f>
        <v>730000</v>
      </c>
      <c r="S10" s="29">
        <f>'Access-Nov'!N10</f>
        <v>0</v>
      </c>
      <c r="T10" s="44">
        <f>IF(R10&gt;0,S10/R10,0)</f>
        <v>0</v>
      </c>
      <c r="U10" s="29">
        <f>'Access-Nov'!O10</f>
        <v>0</v>
      </c>
      <c r="V10" s="30">
        <f>IF(R10&gt;0,U10/R10,0)</f>
        <v>0</v>
      </c>
      <c r="W10" s="29">
        <f>'Access-Nov'!P10</f>
        <v>0</v>
      </c>
      <c r="X10" s="30">
        <f>IF(R10&gt;0,W10/R10,0)</f>
        <v>0</v>
      </c>
    </row>
    <row r="11" spans="1:24" ht="25.5" customHeight="1" x14ac:dyDescent="0.2">
      <c r="A11" s="31" t="str">
        <f>+'Access-Nov'!A11</f>
        <v>12101</v>
      </c>
      <c r="B11" s="32" t="str">
        <f>+'Access-Nov'!B11</f>
        <v>JUSTICA FEDERAL DE PRIMEIRO GRAU</v>
      </c>
      <c r="C11" s="31" t="str">
        <f>CONCATENATE('Access-Nov'!C11,".",'Access-Nov'!D11)</f>
        <v>02.061</v>
      </c>
      <c r="D11" s="31" t="str">
        <f>CONCATENATE('Access-Nov'!E11,".",'Access-Nov'!G11)</f>
        <v>0569.4257</v>
      </c>
      <c r="E11" s="32" t="str">
        <f>+'Access-Nov'!F11</f>
        <v>PRESTACAO JURISDICIONAL NA JUSTICA FEDERAL</v>
      </c>
      <c r="F11" s="33" t="str">
        <f>+'Access-Nov'!H11</f>
        <v>JULGAMENTO DE CAUSAS NA JUSTICA FEDERAL</v>
      </c>
      <c r="G11" s="31" t="str">
        <f>IF('Access-Nov'!I11="1","F","S")</f>
        <v>F</v>
      </c>
      <c r="H11" s="31" t="str">
        <f>+'Access-Nov'!J11</f>
        <v>0181</v>
      </c>
      <c r="I11" s="32" t="str">
        <f>+'Access-Nov'!K11</f>
        <v>RECURSOS DE CONVENIOS</v>
      </c>
      <c r="J11" s="31" t="str">
        <f>+'Access-Nov'!L11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'Access-Nov'!M11</f>
        <v>0</v>
      </c>
      <c r="Q11" s="34"/>
      <c r="R11" s="34">
        <f t="shared" ref="R11:R31" si="1">N11-O11+P11</f>
        <v>0</v>
      </c>
      <c r="S11" s="34">
        <f>'Access-Nov'!N11</f>
        <v>0</v>
      </c>
      <c r="T11" s="35">
        <f t="shared" ref="T11:T38" si="2">IF(R11&gt;0,S11/R11,0)</f>
        <v>0</v>
      </c>
      <c r="U11" s="34">
        <f>'Access-Nov'!O11</f>
        <v>0</v>
      </c>
      <c r="V11" s="35">
        <f t="shared" ref="V11:V38" si="3">IF(R11&gt;0,U11/R11,0)</f>
        <v>0</v>
      </c>
      <c r="W11" s="34">
        <f>'Access-Nov'!P11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+'Access-Nov'!A12</f>
        <v>12104</v>
      </c>
      <c r="B12" s="32" t="str">
        <f>+'Access-Nov'!B12</f>
        <v>TRIBUNAL REGIONAL FEDERAL DA 3A. REGIAO</v>
      </c>
      <c r="C12" s="31" t="str">
        <f>CONCATENATE('Access-Nov'!C12,".",'Access-Nov'!D12)</f>
        <v>02.061</v>
      </c>
      <c r="D12" s="31" t="str">
        <f>CONCATENATE('Access-Nov'!E12,".",'Access-Nov'!G12)</f>
        <v>0569.4224</v>
      </c>
      <c r="E12" s="32" t="str">
        <f>+'Access-Nov'!F12</f>
        <v>PRESTACAO JURISDICIONAL NA JUSTICA FEDERAL</v>
      </c>
      <c r="F12" s="32" t="str">
        <f>+'Access-Nov'!H12</f>
        <v>ASSISTENCIA JURIDICA A PESSOAS CARENTES</v>
      </c>
      <c r="G12" s="31" t="str">
        <f>IF('Access-Nov'!I12="1","F","S")</f>
        <v>F</v>
      </c>
      <c r="H12" s="31" t="str">
        <f>+'Access-Nov'!J12</f>
        <v>0100</v>
      </c>
      <c r="I12" s="32" t="str">
        <f>+'Access-Nov'!K12</f>
        <v>RECURSOS ORDINARIOS</v>
      </c>
      <c r="J12" s="31" t="str">
        <f>+'Access-Nov'!L12</f>
        <v>3</v>
      </c>
      <c r="K12" s="34"/>
      <c r="L12" s="34"/>
      <c r="M12" s="34"/>
      <c r="N12" s="50">
        <f t="shared" si="0"/>
        <v>0</v>
      </c>
      <c r="O12" s="34"/>
      <c r="P12" s="34">
        <f>'Access-Nov'!M12</f>
        <v>15000</v>
      </c>
      <c r="Q12" s="34"/>
      <c r="R12" s="34">
        <f t="shared" si="1"/>
        <v>15000</v>
      </c>
      <c r="S12" s="39">
        <f>'Access-Nov'!N12</f>
        <v>15000</v>
      </c>
      <c r="T12" s="35">
        <f t="shared" si="2"/>
        <v>1</v>
      </c>
      <c r="U12" s="34">
        <f>'Access-Nov'!O12</f>
        <v>1302.73</v>
      </c>
      <c r="V12" s="35">
        <f t="shared" si="3"/>
        <v>8.6848666666666671E-2</v>
      </c>
      <c r="W12" s="34">
        <f>'Access-Nov'!P12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+'Access-Nov'!A13</f>
        <v>12104</v>
      </c>
      <c r="B13" s="32" t="str">
        <f>+'Access-Nov'!B13</f>
        <v>TRIBUNAL REGIONAL FEDERAL DA 3A. REGIAO</v>
      </c>
      <c r="C13" s="31" t="str">
        <f>CONCATENATE('Access-Nov'!C13,".",'Access-Nov'!D13)</f>
        <v>02.061</v>
      </c>
      <c r="D13" s="31" t="str">
        <f>CONCATENATE('Access-Nov'!E13,".",'Access-Nov'!G13)</f>
        <v>0569.4257</v>
      </c>
      <c r="E13" s="32" t="str">
        <f>+'Access-Nov'!F13</f>
        <v>PRESTACAO JURISDICIONAL NA JUSTICA FEDERAL</v>
      </c>
      <c r="F13" s="32" t="str">
        <f>+'Access-Nov'!H13</f>
        <v>JULGAMENTO DE CAUSAS NA JUSTICA FEDERAL</v>
      </c>
      <c r="G13" s="31" t="str">
        <f>IF('Access-Nov'!I13="1","F","S")</f>
        <v>F</v>
      </c>
      <c r="H13" s="31" t="str">
        <f>+'Access-Nov'!J13</f>
        <v>0100</v>
      </c>
      <c r="I13" s="32" t="str">
        <f>+'Access-Nov'!K13</f>
        <v>RECURSOS ORDINARIOS</v>
      </c>
      <c r="J13" s="31" t="str">
        <f>+'Access-Nov'!L13</f>
        <v>4</v>
      </c>
      <c r="K13" s="34"/>
      <c r="L13" s="34"/>
      <c r="M13" s="34"/>
      <c r="N13" s="50">
        <f t="shared" si="0"/>
        <v>0</v>
      </c>
      <c r="O13" s="34"/>
      <c r="P13" s="34">
        <f>'Access-Nov'!M13</f>
        <v>4592416</v>
      </c>
      <c r="Q13" s="34"/>
      <c r="R13" s="34">
        <f t="shared" si="1"/>
        <v>4592416</v>
      </c>
      <c r="S13" s="39">
        <f>'Access-Nov'!N13</f>
        <v>251935.6</v>
      </c>
      <c r="T13" s="35">
        <f t="shared" si="2"/>
        <v>5.4859054580421285E-2</v>
      </c>
      <c r="U13" s="34">
        <f>'Access-Nov'!O13</f>
        <v>77268.06</v>
      </c>
      <c r="V13" s="35">
        <f t="shared" si="3"/>
        <v>1.6825143889403746E-2</v>
      </c>
      <c r="W13" s="34">
        <f>'Access-Nov'!P13</f>
        <v>77268.06</v>
      </c>
      <c r="X13" s="35">
        <f t="shared" si="4"/>
        <v>1.6825143889403746E-2</v>
      </c>
    </row>
    <row r="14" spans="1:24" ht="25.5" customHeight="1" x14ac:dyDescent="0.2">
      <c r="A14" s="31" t="str">
        <f>+'Access-Nov'!A14</f>
        <v>12104</v>
      </c>
      <c r="B14" s="32" t="str">
        <f>+'Access-Nov'!B14</f>
        <v>TRIBUNAL REGIONAL FEDERAL DA 3A. REGIAO</v>
      </c>
      <c r="C14" s="31" t="str">
        <f>CONCATENATE('Access-Nov'!C14,".",'Access-Nov'!D14)</f>
        <v>02.061</v>
      </c>
      <c r="D14" s="31" t="str">
        <f>CONCATENATE('Access-Nov'!E14,".",'Access-Nov'!G14)</f>
        <v>0569.4257</v>
      </c>
      <c r="E14" s="32" t="str">
        <f>+'Access-Nov'!F14</f>
        <v>PRESTACAO JURISDICIONAL NA JUSTICA FEDERAL</v>
      </c>
      <c r="F14" s="32" t="str">
        <f>+'Access-Nov'!H14</f>
        <v>JULGAMENTO DE CAUSAS NA JUSTICA FEDERAL</v>
      </c>
      <c r="G14" s="31" t="str">
        <f>IF('Access-Nov'!I14="1","F","S")</f>
        <v>F</v>
      </c>
      <c r="H14" s="31" t="str">
        <f>+'Access-Nov'!J14</f>
        <v>0100</v>
      </c>
      <c r="I14" s="32" t="str">
        <f>+'Access-Nov'!K14</f>
        <v>RECURSOS ORDINARIOS</v>
      </c>
      <c r="J14" s="31" t="str">
        <f>+'Access-Nov'!L14</f>
        <v>3</v>
      </c>
      <c r="K14" s="34"/>
      <c r="L14" s="34"/>
      <c r="M14" s="34"/>
      <c r="N14" s="50">
        <f t="shared" si="0"/>
        <v>0</v>
      </c>
      <c r="O14" s="34"/>
      <c r="P14" s="34">
        <f>'Access-Nov'!M14</f>
        <v>46266215</v>
      </c>
      <c r="Q14" s="34"/>
      <c r="R14" s="34">
        <f t="shared" si="1"/>
        <v>46266215</v>
      </c>
      <c r="S14" s="39">
        <f>'Access-Nov'!N14</f>
        <v>42502473.509999998</v>
      </c>
      <c r="T14" s="35">
        <f t="shared" si="2"/>
        <v>0.91865032637746569</v>
      </c>
      <c r="U14" s="34">
        <f>'Access-Nov'!O14</f>
        <v>31488285.960000001</v>
      </c>
      <c r="V14" s="35">
        <f t="shared" si="3"/>
        <v>0.68058919364810799</v>
      </c>
      <c r="W14" s="34">
        <f>'Access-Nov'!P14</f>
        <v>29304033.699999999</v>
      </c>
      <c r="X14" s="35">
        <f t="shared" si="4"/>
        <v>0.63337866951078658</v>
      </c>
    </row>
    <row r="15" spans="1:24" ht="25.5" customHeight="1" x14ac:dyDescent="0.2">
      <c r="A15" s="31" t="str">
        <f>+'Access-Nov'!A15</f>
        <v>12104</v>
      </c>
      <c r="B15" s="32" t="str">
        <f>+'Access-Nov'!B15</f>
        <v>TRIBUNAL REGIONAL FEDERAL DA 3A. REGIAO</v>
      </c>
      <c r="C15" s="31" t="str">
        <f>CONCATENATE('Access-Nov'!C15,".",'Access-Nov'!D15)</f>
        <v>02.061</v>
      </c>
      <c r="D15" s="31" t="str">
        <f>CONCATENATE('Access-Nov'!E15,".",'Access-Nov'!G15)</f>
        <v>0569.4257</v>
      </c>
      <c r="E15" s="32" t="str">
        <f>+'Access-Nov'!F15</f>
        <v>PRESTACAO JURISDICIONAL NA JUSTICA FEDERAL</v>
      </c>
      <c r="F15" s="32" t="str">
        <f>+'Access-Nov'!H15</f>
        <v>JULGAMENTO DE CAUSAS NA JUSTICA FEDERAL</v>
      </c>
      <c r="G15" s="31" t="str">
        <f>IF('Access-Nov'!I15="1","F","S")</f>
        <v>F</v>
      </c>
      <c r="H15" s="31" t="str">
        <f>+'Access-Nov'!J15</f>
        <v>0127</v>
      </c>
      <c r="I15" s="32" t="str">
        <f>+'Access-Nov'!K15</f>
        <v>CUSTAS E EMOLUMENTOS - PODER JUDICIARIO</v>
      </c>
      <c r="J15" s="31" t="str">
        <f>+'Access-Nov'!L15</f>
        <v>3</v>
      </c>
      <c r="K15" s="50"/>
      <c r="L15" s="50"/>
      <c r="M15" s="50"/>
      <c r="N15" s="50">
        <f t="shared" si="0"/>
        <v>0</v>
      </c>
      <c r="O15" s="50"/>
      <c r="P15" s="34">
        <f>'Access-Nov'!M15</f>
        <v>6790890</v>
      </c>
      <c r="Q15" s="34"/>
      <c r="R15" s="34">
        <f t="shared" si="1"/>
        <v>6790890</v>
      </c>
      <c r="S15" s="39">
        <f>'Access-Nov'!N15</f>
        <v>6790890</v>
      </c>
      <c r="T15" s="35">
        <f t="shared" si="2"/>
        <v>1</v>
      </c>
      <c r="U15" s="34">
        <f>'Access-Nov'!O15</f>
        <v>6002810.6399999997</v>
      </c>
      <c r="V15" s="35">
        <f t="shared" si="3"/>
        <v>0.88395050427852606</v>
      </c>
      <c r="W15" s="34">
        <f>'Access-Nov'!P15</f>
        <v>6002093.2599999998</v>
      </c>
      <c r="X15" s="35">
        <f t="shared" si="4"/>
        <v>0.88384486569507081</v>
      </c>
    </row>
    <row r="16" spans="1:24" ht="25.5" customHeight="1" x14ac:dyDescent="0.2">
      <c r="A16" s="31" t="str">
        <f>+'Access-Nov'!A16</f>
        <v>12104</v>
      </c>
      <c r="B16" s="32" t="str">
        <f>+'Access-Nov'!B16</f>
        <v>TRIBUNAL REGIONAL FEDERAL DA 3A. REGIAO</v>
      </c>
      <c r="C16" s="31" t="str">
        <f>CONCATENATE('Access-Nov'!C16,".",'Access-Nov'!D16)</f>
        <v>02.061</v>
      </c>
      <c r="D16" s="31" t="str">
        <f>CONCATENATE('Access-Nov'!E16,".",'Access-Nov'!G16)</f>
        <v>0569.4257</v>
      </c>
      <c r="E16" s="32" t="str">
        <f>+'Access-Nov'!F16</f>
        <v>PRESTACAO JURISDICIONAL NA JUSTICA FEDERAL</v>
      </c>
      <c r="F16" s="32" t="str">
        <f>+'Access-Nov'!H16</f>
        <v>JULGAMENTO DE CAUSAS NA JUSTICA FEDERAL</v>
      </c>
      <c r="G16" s="31" t="str">
        <f>IF('Access-Nov'!I16="1","F","S")</f>
        <v>F</v>
      </c>
      <c r="H16" s="31" t="str">
        <f>+'Access-Nov'!J16</f>
        <v>0150</v>
      </c>
      <c r="I16" s="32" t="str">
        <f>+'Access-Nov'!K16</f>
        <v>RECURSOS NAO-FINANCEIROS DIRETAM. ARRECADADOS</v>
      </c>
      <c r="J16" s="31" t="str">
        <f>+'Access-Nov'!L16</f>
        <v>3</v>
      </c>
      <c r="K16" s="34"/>
      <c r="L16" s="34"/>
      <c r="M16" s="34"/>
      <c r="N16" s="50">
        <f t="shared" si="0"/>
        <v>0</v>
      </c>
      <c r="O16" s="34"/>
      <c r="P16" s="34">
        <f>'Access-Nov'!M16</f>
        <v>800000</v>
      </c>
      <c r="Q16" s="34"/>
      <c r="R16" s="34">
        <f t="shared" si="1"/>
        <v>800000</v>
      </c>
      <c r="S16" s="39">
        <f>'Access-Nov'!N16</f>
        <v>0</v>
      </c>
      <c r="T16" s="35">
        <f t="shared" si="2"/>
        <v>0</v>
      </c>
      <c r="U16" s="34">
        <f>'Access-Nov'!O16</f>
        <v>0</v>
      </c>
      <c r="V16" s="35">
        <f t="shared" si="3"/>
        <v>0</v>
      </c>
      <c r="W16" s="34">
        <f>'Access-Nov'!P16</f>
        <v>0</v>
      </c>
      <c r="X16" s="35">
        <f t="shared" si="4"/>
        <v>0</v>
      </c>
    </row>
    <row r="17" spans="1:24" ht="25.5" customHeight="1" x14ac:dyDescent="0.2">
      <c r="A17" s="31" t="str">
        <f>+'Access-Nov'!A17</f>
        <v>12104</v>
      </c>
      <c r="B17" s="32" t="str">
        <f>+'Access-Nov'!B17</f>
        <v>TRIBUNAL REGIONAL FEDERAL DA 3A. REGIAO</v>
      </c>
      <c r="C17" s="31" t="str">
        <f>CONCATENATE('Access-Nov'!C17,".",'Access-Nov'!D17)</f>
        <v>02.061</v>
      </c>
      <c r="D17" s="31" t="str">
        <f>CONCATENATE('Access-Nov'!E17,".",'Access-Nov'!G17)</f>
        <v>0569.4257</v>
      </c>
      <c r="E17" s="32" t="str">
        <f>+'Access-Nov'!F17</f>
        <v>PRESTACAO JURISDICIONAL NA JUSTICA FEDERAL</v>
      </c>
      <c r="F17" s="32" t="str">
        <f>+'Access-Nov'!H17</f>
        <v>JULGAMENTO DE CAUSAS NA JUSTICA FEDERAL</v>
      </c>
      <c r="G17" s="31" t="str">
        <f>IF('Access-Nov'!I17="1","F","S")</f>
        <v>F</v>
      </c>
      <c r="H17" s="31" t="str">
        <f>+'Access-Nov'!J17</f>
        <v>0181</v>
      </c>
      <c r="I17" s="32" t="str">
        <f>+'Access-Nov'!K17</f>
        <v>RECURSOS DE CONVENIOS</v>
      </c>
      <c r="J17" s="31" t="str">
        <f>+'Access-Nov'!L17</f>
        <v>4</v>
      </c>
      <c r="K17" s="34"/>
      <c r="L17" s="34"/>
      <c r="M17" s="34"/>
      <c r="N17" s="50">
        <f t="shared" si="0"/>
        <v>0</v>
      </c>
      <c r="O17" s="34"/>
      <c r="P17" s="34">
        <f>'Access-Nov'!M17</f>
        <v>4951378</v>
      </c>
      <c r="Q17" s="34"/>
      <c r="R17" s="34">
        <f t="shared" si="1"/>
        <v>4951378</v>
      </c>
      <c r="S17" s="39">
        <f>'Access-Nov'!N17</f>
        <v>3440573</v>
      </c>
      <c r="T17" s="35">
        <f t="shared" si="2"/>
        <v>0.69487181144319821</v>
      </c>
      <c r="U17" s="34">
        <f>'Access-Nov'!O17</f>
        <v>0</v>
      </c>
      <c r="V17" s="35">
        <f t="shared" si="3"/>
        <v>0</v>
      </c>
      <c r="W17" s="34">
        <f>'Access-Nov'!P17</f>
        <v>0</v>
      </c>
      <c r="X17" s="35">
        <f t="shared" si="4"/>
        <v>0</v>
      </c>
    </row>
    <row r="18" spans="1:24" ht="25.5" customHeight="1" x14ac:dyDescent="0.2">
      <c r="A18" s="31" t="str">
        <f>+'Access-Nov'!A18</f>
        <v>12104</v>
      </c>
      <c r="B18" s="32" t="str">
        <f>+'Access-Nov'!B18</f>
        <v>TRIBUNAL REGIONAL FEDERAL DA 3A. REGIAO</v>
      </c>
      <c r="C18" s="31" t="str">
        <f>CONCATENATE('Access-Nov'!C18,".",'Access-Nov'!D18)</f>
        <v>02.061</v>
      </c>
      <c r="D18" s="31" t="str">
        <f>CONCATENATE('Access-Nov'!E18,".",'Access-Nov'!G18)</f>
        <v>0569.4257</v>
      </c>
      <c r="E18" s="32" t="str">
        <f>+'Access-Nov'!F18</f>
        <v>PRESTACAO JURISDICIONAL NA JUSTICA FEDERAL</v>
      </c>
      <c r="F18" s="32" t="str">
        <f>+'Access-Nov'!H18</f>
        <v>JULGAMENTO DE CAUSAS NA JUSTICA FEDERAL</v>
      </c>
      <c r="G18" s="31" t="str">
        <f>IF('Access-Nov'!I18="1","F","S")</f>
        <v>F</v>
      </c>
      <c r="H18" s="31" t="str">
        <f>+'Access-Nov'!J18</f>
        <v>0181</v>
      </c>
      <c r="I18" s="32" t="str">
        <f>+'Access-Nov'!K18</f>
        <v>RECURSOS DE CONVENIOS</v>
      </c>
      <c r="J18" s="31" t="str">
        <f>+'Access-Nov'!L18</f>
        <v>3</v>
      </c>
      <c r="K18" s="50"/>
      <c r="L18" s="50"/>
      <c r="M18" s="50"/>
      <c r="N18" s="50">
        <f t="shared" si="0"/>
        <v>0</v>
      </c>
      <c r="O18" s="50"/>
      <c r="P18" s="34">
        <f>'Access-Nov'!M18</f>
        <v>175000</v>
      </c>
      <c r="Q18" s="34"/>
      <c r="R18" s="34">
        <f t="shared" si="1"/>
        <v>175000</v>
      </c>
      <c r="S18" s="39">
        <f>'Access-Nov'!N18</f>
        <v>157660</v>
      </c>
      <c r="T18" s="35">
        <f t="shared" si="2"/>
        <v>0.90091428571428567</v>
      </c>
      <c r="U18" s="34">
        <f>'Access-Nov'!O18</f>
        <v>0</v>
      </c>
      <c r="V18" s="35">
        <f t="shared" si="3"/>
        <v>0</v>
      </c>
      <c r="W18" s="34">
        <f>'Access-Nov'!P18</f>
        <v>0</v>
      </c>
      <c r="X18" s="35">
        <f t="shared" si="4"/>
        <v>0</v>
      </c>
    </row>
    <row r="19" spans="1:24" ht="25.5" customHeight="1" x14ac:dyDescent="0.2">
      <c r="A19" s="31" t="str">
        <f>+'Access-Nov'!A19</f>
        <v>12104</v>
      </c>
      <c r="B19" s="32" t="str">
        <f>+'Access-Nov'!B19</f>
        <v>TRIBUNAL REGIONAL FEDERAL DA 3A. REGIAO</v>
      </c>
      <c r="C19" s="31" t="str">
        <f>CONCATENATE('Access-Nov'!C19,".",'Access-Nov'!D19)</f>
        <v>02.122</v>
      </c>
      <c r="D19" s="31" t="str">
        <f>CONCATENATE('Access-Nov'!E19,".",'Access-Nov'!G19)</f>
        <v>0569.12SU</v>
      </c>
      <c r="E19" s="32" t="str">
        <f>+'Access-Nov'!F19</f>
        <v>PRESTACAO JURISDICIONAL NA JUSTICA FEDERAL</v>
      </c>
      <c r="F19" s="32" t="str">
        <f>+'Access-Nov'!H19</f>
        <v>AQUISICAO DE EDIFICIO-ANEXO AO TRF 3. REGIAO EM SAO PAULO -</v>
      </c>
      <c r="G19" s="31" t="str">
        <f>IF('Access-Nov'!I19="1","F","S")</f>
        <v>F</v>
      </c>
      <c r="H19" s="31" t="str">
        <f>+'Access-Nov'!J19</f>
        <v>0100</v>
      </c>
      <c r="I19" s="32" t="str">
        <f>+'Access-Nov'!K19</f>
        <v>RECURSOS ORDINARIOS</v>
      </c>
      <c r="J19" s="31" t="str">
        <f>+'Access-Nov'!L19</f>
        <v>5</v>
      </c>
      <c r="K19" s="50"/>
      <c r="L19" s="50"/>
      <c r="M19" s="50"/>
      <c r="N19" s="50">
        <f t="shared" si="0"/>
        <v>0</v>
      </c>
      <c r="O19" s="50"/>
      <c r="P19" s="34">
        <f>'Access-Nov'!M19</f>
        <v>0</v>
      </c>
      <c r="Q19" s="34"/>
      <c r="R19" s="34">
        <f t="shared" si="1"/>
        <v>0</v>
      </c>
      <c r="S19" s="39">
        <f>'Access-Nov'!N19</f>
        <v>0</v>
      </c>
      <c r="T19" s="35">
        <f t="shared" si="2"/>
        <v>0</v>
      </c>
      <c r="U19" s="34">
        <f>'Access-Nov'!O19</f>
        <v>0</v>
      </c>
      <c r="V19" s="35">
        <f t="shared" si="3"/>
        <v>0</v>
      </c>
      <c r="W19" s="34">
        <f>'Access-Nov'!P19</f>
        <v>0</v>
      </c>
      <c r="X19" s="35">
        <f t="shared" si="4"/>
        <v>0</v>
      </c>
    </row>
    <row r="20" spans="1:24" ht="25.5" customHeight="1" x14ac:dyDescent="0.2">
      <c r="A20" s="31" t="str">
        <f>+'Access-Nov'!A20</f>
        <v>12104</v>
      </c>
      <c r="B20" s="32" t="str">
        <f>+'Access-Nov'!B20</f>
        <v>TRIBUNAL REGIONAL FEDERAL DA 3A. REGIAO</v>
      </c>
      <c r="C20" s="31" t="str">
        <f>CONCATENATE('Access-Nov'!C20,".",'Access-Nov'!D20)</f>
        <v>02.122</v>
      </c>
      <c r="D20" s="31" t="str">
        <f>CONCATENATE('Access-Nov'!E20,".",'Access-Nov'!G20)</f>
        <v>0569.12SU</v>
      </c>
      <c r="E20" s="32" t="str">
        <f>+'Access-Nov'!F20</f>
        <v>PRESTACAO JURISDICIONAL NA JUSTICA FEDERAL</v>
      </c>
      <c r="F20" s="32" t="str">
        <f>+'Access-Nov'!H20</f>
        <v>AQUISICAO DE EDIFICIO-ANEXO AO TRF 3. REGIAO EM SAO PAULO -</v>
      </c>
      <c r="G20" s="31" t="str">
        <f>IF('Access-Nov'!I20="1","F","S")</f>
        <v>F</v>
      </c>
      <c r="H20" s="31" t="str">
        <f>+'Access-Nov'!J20</f>
        <v>0188</v>
      </c>
      <c r="I20" s="32" t="str">
        <f>+'Access-Nov'!K20</f>
        <v>REMUNERACAO DAS DISPONIB. DO TESOURO NACIONAL</v>
      </c>
      <c r="J20" s="31" t="str">
        <f>+'Access-Nov'!L20</f>
        <v>5</v>
      </c>
      <c r="K20" s="50"/>
      <c r="L20" s="50"/>
      <c r="M20" s="50"/>
      <c r="N20" s="50">
        <f t="shared" si="0"/>
        <v>0</v>
      </c>
      <c r="O20" s="50"/>
      <c r="P20" s="34">
        <f>'Access-Nov'!M20</f>
        <v>0</v>
      </c>
      <c r="Q20" s="34"/>
      <c r="R20" s="34">
        <f t="shared" si="1"/>
        <v>0</v>
      </c>
      <c r="S20" s="39">
        <f>'Access-Nov'!N20</f>
        <v>0</v>
      </c>
      <c r="T20" s="35">
        <f t="shared" si="2"/>
        <v>0</v>
      </c>
      <c r="U20" s="34">
        <f>'Access-Nov'!O20</f>
        <v>0</v>
      </c>
      <c r="V20" s="35">
        <f t="shared" si="3"/>
        <v>0</v>
      </c>
      <c r="W20" s="34">
        <f>'Access-Nov'!P20</f>
        <v>0</v>
      </c>
      <c r="X20" s="35">
        <f t="shared" si="4"/>
        <v>0</v>
      </c>
    </row>
    <row r="21" spans="1:24" ht="25.5" customHeight="1" x14ac:dyDescent="0.2">
      <c r="A21" s="31" t="str">
        <f>+'Access-Nov'!A21</f>
        <v>12104</v>
      </c>
      <c r="B21" s="32" t="str">
        <f>+'Access-Nov'!B21</f>
        <v>TRIBUNAL REGIONAL FEDERAL DA 3A. REGIAO</v>
      </c>
      <c r="C21" s="31" t="str">
        <f>CONCATENATE('Access-Nov'!C21,".",'Access-Nov'!D21)</f>
        <v>02.122</v>
      </c>
      <c r="D21" s="31" t="str">
        <f>CONCATENATE('Access-Nov'!E21,".",'Access-Nov'!G21)</f>
        <v>0569.15HG</v>
      </c>
      <c r="E21" s="32" t="str">
        <f>+'Access-Nov'!F21</f>
        <v>PRESTACAO JURISDICIONAL NA JUSTICA FEDERAL</v>
      </c>
      <c r="F21" s="32" t="str">
        <f>+'Access-Nov'!H21</f>
        <v>AQUISICAO DE IMOVEIS PARA FUNCIONAMENTO DO TRF3 DA 3. REGIAO</v>
      </c>
      <c r="G21" s="31" t="str">
        <f>IF('Access-Nov'!I21="1","F","S")</f>
        <v>F</v>
      </c>
      <c r="H21" s="31" t="str">
        <f>+'Access-Nov'!J21</f>
        <v>0100</v>
      </c>
      <c r="I21" s="32" t="str">
        <f>+'Access-Nov'!K21</f>
        <v>RECURSOS ORDINARIOS</v>
      </c>
      <c r="J21" s="31" t="str">
        <f>+'Access-Nov'!L21</f>
        <v>5</v>
      </c>
      <c r="K21" s="50"/>
      <c r="L21" s="50"/>
      <c r="M21" s="50"/>
      <c r="N21" s="50">
        <f t="shared" si="0"/>
        <v>0</v>
      </c>
      <c r="O21" s="50"/>
      <c r="P21" s="34">
        <f>'Access-Nov'!M21</f>
        <v>0</v>
      </c>
      <c r="Q21" s="34"/>
      <c r="R21" s="34">
        <f t="shared" si="1"/>
        <v>0</v>
      </c>
      <c r="S21" s="39">
        <f>'Access-Nov'!N21</f>
        <v>0</v>
      </c>
      <c r="T21" s="35">
        <f t="shared" si="2"/>
        <v>0</v>
      </c>
      <c r="U21" s="34">
        <f>'Access-Nov'!O21</f>
        <v>0</v>
      </c>
      <c r="V21" s="35">
        <f t="shared" si="3"/>
        <v>0</v>
      </c>
      <c r="W21" s="34">
        <f>'Access-Nov'!P21</f>
        <v>0</v>
      </c>
      <c r="X21" s="35">
        <f t="shared" si="4"/>
        <v>0</v>
      </c>
    </row>
    <row r="22" spans="1:24" ht="25.5" customHeight="1" x14ac:dyDescent="0.2">
      <c r="A22" s="31" t="str">
        <f>+'Access-Nov'!A22</f>
        <v>12104</v>
      </c>
      <c r="B22" s="32" t="str">
        <f>+'Access-Nov'!B22</f>
        <v>TRIBUNAL REGIONAL FEDERAL DA 3A. REGIAO</v>
      </c>
      <c r="C22" s="31" t="str">
        <f>CONCATENATE('Access-Nov'!C22,".",'Access-Nov'!D22)</f>
        <v>02.122</v>
      </c>
      <c r="D22" s="31" t="str">
        <f>CONCATENATE('Access-Nov'!E22,".",'Access-Nov'!G22)</f>
        <v>0569.15HG</v>
      </c>
      <c r="E22" s="32" t="str">
        <f>+'Access-Nov'!F22</f>
        <v>PRESTACAO JURISDICIONAL NA JUSTICA FEDERAL</v>
      </c>
      <c r="F22" s="32" t="str">
        <f>+'Access-Nov'!H22</f>
        <v>AQUISICAO DE IMOVEIS PARA FUNCIONAMENTO DO TRF3 DA 3. REGIAO</v>
      </c>
      <c r="G22" s="31" t="str">
        <f>IF('Access-Nov'!I22="1","F","S")</f>
        <v>F</v>
      </c>
      <c r="H22" s="31" t="str">
        <f>+'Access-Nov'!J22</f>
        <v>0181</v>
      </c>
      <c r="I22" s="32" t="str">
        <f>+'Access-Nov'!K22</f>
        <v>RECURSOS DE CONVENIOS</v>
      </c>
      <c r="J22" s="31" t="str">
        <f>+'Access-Nov'!L22</f>
        <v>5</v>
      </c>
      <c r="K22" s="50"/>
      <c r="L22" s="50"/>
      <c r="M22" s="50"/>
      <c r="N22" s="50">
        <f t="shared" si="0"/>
        <v>0</v>
      </c>
      <c r="O22" s="50"/>
      <c r="P22" s="34">
        <f>'Access-Nov'!M22</f>
        <v>8000000</v>
      </c>
      <c r="Q22" s="34"/>
      <c r="R22" s="34">
        <f t="shared" si="1"/>
        <v>8000000</v>
      </c>
      <c r="S22" s="39">
        <f>'Access-Nov'!N22</f>
        <v>0</v>
      </c>
      <c r="T22" s="35">
        <f t="shared" si="2"/>
        <v>0</v>
      </c>
      <c r="U22" s="34">
        <f>'Access-Nov'!O22</f>
        <v>0</v>
      </c>
      <c r="V22" s="35">
        <f t="shared" si="3"/>
        <v>0</v>
      </c>
      <c r="W22" s="34">
        <f>'Access-Nov'!P22</f>
        <v>0</v>
      </c>
      <c r="X22" s="35">
        <f t="shared" si="4"/>
        <v>0</v>
      </c>
    </row>
    <row r="23" spans="1:24" ht="25.5" customHeight="1" x14ac:dyDescent="0.2">
      <c r="A23" s="31" t="str">
        <f>+'Access-Nov'!A23</f>
        <v>12104</v>
      </c>
      <c r="B23" s="32" t="str">
        <f>+'Access-Nov'!B23</f>
        <v>TRIBUNAL REGIONAL FEDERAL DA 3A. REGIAO</v>
      </c>
      <c r="C23" s="31" t="str">
        <f>CONCATENATE('Access-Nov'!C23,".",'Access-Nov'!D23)</f>
        <v>02.122</v>
      </c>
      <c r="D23" s="31" t="str">
        <f>CONCATENATE('Access-Nov'!E23,".",'Access-Nov'!G23)</f>
        <v>0569.15NZ</v>
      </c>
      <c r="E23" s="32" t="str">
        <f>+'Access-Nov'!F23</f>
        <v>PRESTACAO JURISDICIONAL NA JUSTICA FEDERAL</v>
      </c>
      <c r="F23" s="32" t="str">
        <f>+'Access-Nov'!H23</f>
        <v>REFORMA DO EDIFICIO-SEDE DO TRIBUNAL REGIONAL FEDERAL DA 3.</v>
      </c>
      <c r="G23" s="31" t="str">
        <f>IF('Access-Nov'!I23="1","F","S")</f>
        <v>F</v>
      </c>
      <c r="H23" s="31" t="str">
        <f>+'Access-Nov'!J23</f>
        <v>0100</v>
      </c>
      <c r="I23" s="32" t="str">
        <f>+'Access-Nov'!K23</f>
        <v>RECURSOS ORDINARIOS</v>
      </c>
      <c r="J23" s="31" t="str">
        <f>+'Access-Nov'!L23</f>
        <v>4</v>
      </c>
      <c r="K23" s="50"/>
      <c r="L23" s="50"/>
      <c r="M23" s="50"/>
      <c r="N23" s="50">
        <f t="shared" si="0"/>
        <v>0</v>
      </c>
      <c r="O23" s="50"/>
      <c r="P23" s="34">
        <f>'Access-Nov'!M23</f>
        <v>0</v>
      </c>
      <c r="Q23" s="34"/>
      <c r="R23" s="34">
        <f t="shared" si="1"/>
        <v>0</v>
      </c>
      <c r="S23" s="39">
        <f>'Access-Nov'!N23</f>
        <v>0</v>
      </c>
      <c r="T23" s="35">
        <f t="shared" si="2"/>
        <v>0</v>
      </c>
      <c r="U23" s="34">
        <f>'Access-Nov'!O23</f>
        <v>0</v>
      </c>
      <c r="V23" s="35">
        <f t="shared" si="3"/>
        <v>0</v>
      </c>
      <c r="W23" s="34">
        <f>'Access-Nov'!P23</f>
        <v>0</v>
      </c>
      <c r="X23" s="35">
        <f t="shared" si="4"/>
        <v>0</v>
      </c>
    </row>
    <row r="24" spans="1:24" ht="25.5" customHeight="1" x14ac:dyDescent="0.2">
      <c r="A24" s="31" t="str">
        <f>+'Access-Nov'!A24</f>
        <v>12104</v>
      </c>
      <c r="B24" s="32" t="str">
        <f>+'Access-Nov'!B24</f>
        <v>TRIBUNAL REGIONAL FEDERAL DA 3A. REGIAO</v>
      </c>
      <c r="C24" s="31" t="str">
        <f>CONCATENATE('Access-Nov'!C24,".",'Access-Nov'!D24)</f>
        <v>02.122</v>
      </c>
      <c r="D24" s="31" t="str">
        <f>CONCATENATE('Access-Nov'!E24,".",'Access-Nov'!G24)</f>
        <v>0569.20TP</v>
      </c>
      <c r="E24" s="32" t="str">
        <f>+'Access-Nov'!F24</f>
        <v>PRESTACAO JURISDICIONAL NA JUSTICA FEDERAL</v>
      </c>
      <c r="F24" s="32" t="str">
        <f>+'Access-Nov'!H24</f>
        <v>PESSOAL ATIVO DA UNIAO</v>
      </c>
      <c r="G24" s="31" t="str">
        <f>IF('Access-Nov'!I24="1","F","S")</f>
        <v>F</v>
      </c>
      <c r="H24" s="31" t="str">
        <f>+'Access-Nov'!J24</f>
        <v>0100</v>
      </c>
      <c r="I24" s="32" t="str">
        <f>+'Access-Nov'!K24</f>
        <v>RECURSOS ORDINARIOS</v>
      </c>
      <c r="J24" s="31" t="str">
        <f>+'Access-Nov'!L24</f>
        <v>1</v>
      </c>
      <c r="K24" s="50"/>
      <c r="L24" s="50"/>
      <c r="M24" s="50"/>
      <c r="N24" s="50">
        <f t="shared" si="0"/>
        <v>0</v>
      </c>
      <c r="O24" s="50"/>
      <c r="P24" s="34">
        <f>'Access-Nov'!M24</f>
        <v>347646754.06999999</v>
      </c>
      <c r="Q24" s="34"/>
      <c r="R24" s="34">
        <f t="shared" si="1"/>
        <v>347646754.06999999</v>
      </c>
      <c r="S24" s="39">
        <f>'Access-Nov'!N24</f>
        <v>347646754.06999999</v>
      </c>
      <c r="T24" s="35">
        <f t="shared" si="2"/>
        <v>1</v>
      </c>
      <c r="U24" s="34">
        <f>'Access-Nov'!O24</f>
        <v>347636979.55000001</v>
      </c>
      <c r="V24" s="35">
        <f t="shared" si="3"/>
        <v>0.99997188375877077</v>
      </c>
      <c r="W24" s="34">
        <f>'Access-Nov'!P24</f>
        <v>345926406.25999999</v>
      </c>
      <c r="X24" s="35">
        <f t="shared" si="4"/>
        <v>0.99505144866201278</v>
      </c>
    </row>
    <row r="25" spans="1:24" ht="25.5" customHeight="1" x14ac:dyDescent="0.2">
      <c r="A25" s="31" t="str">
        <f>+'Access-Nov'!A25</f>
        <v>12104</v>
      </c>
      <c r="B25" s="32" t="str">
        <f>+'Access-Nov'!B25</f>
        <v>TRIBUNAL REGIONAL FEDERAL DA 3A. REGIAO</v>
      </c>
      <c r="C25" s="31" t="str">
        <f>CONCATENATE('Access-Nov'!C25,".",'Access-Nov'!D25)</f>
        <v>02.122</v>
      </c>
      <c r="D25" s="31" t="str">
        <f>CONCATENATE('Access-Nov'!E25,".",'Access-Nov'!G25)</f>
        <v>0569.216H</v>
      </c>
      <c r="E25" s="32" t="str">
        <f>+'Access-Nov'!F25</f>
        <v>PRESTACAO JURISDICIONAL NA JUSTICA FEDERAL</v>
      </c>
      <c r="F25" s="32" t="str">
        <f>+'Access-Nov'!H25</f>
        <v>AJUDA DE CUSTO PARA MORADIA OU AUXILIO-MORADIA A AGENTES PUB</v>
      </c>
      <c r="G25" s="31" t="str">
        <f>IF('Access-Nov'!I25="1","F","S")</f>
        <v>F</v>
      </c>
      <c r="H25" s="31" t="str">
        <f>+'Access-Nov'!J25</f>
        <v>0100</v>
      </c>
      <c r="I25" s="32" t="str">
        <f>+'Access-Nov'!K25</f>
        <v>RECURSOS ORDINARIOS</v>
      </c>
      <c r="J25" s="31" t="str">
        <f>+'Access-Nov'!L25</f>
        <v>3</v>
      </c>
      <c r="K25" s="50"/>
      <c r="L25" s="50"/>
      <c r="M25" s="50"/>
      <c r="N25" s="50">
        <f t="shared" si="0"/>
        <v>0</v>
      </c>
      <c r="O25" s="50"/>
      <c r="P25" s="34">
        <f>'Access-Nov'!M25</f>
        <v>2483742</v>
      </c>
      <c r="Q25" s="34"/>
      <c r="R25" s="34">
        <f t="shared" si="1"/>
        <v>2483742</v>
      </c>
      <c r="S25" s="39">
        <f>'Access-Nov'!N25</f>
        <v>2098411.91</v>
      </c>
      <c r="T25" s="35">
        <f t="shared" si="2"/>
        <v>0.8448590513829537</v>
      </c>
      <c r="U25" s="34">
        <f>'Access-Nov'!O25</f>
        <v>2098411.91</v>
      </c>
      <c r="V25" s="35">
        <f t="shared" si="3"/>
        <v>0.8448590513829537</v>
      </c>
      <c r="W25" s="34">
        <f>'Access-Nov'!P25</f>
        <v>2098411.91</v>
      </c>
      <c r="X25" s="35">
        <f t="shared" si="4"/>
        <v>0.8448590513829537</v>
      </c>
    </row>
    <row r="26" spans="1:24" ht="25.5" customHeight="1" x14ac:dyDescent="0.2">
      <c r="A26" s="31" t="str">
        <f>+'Access-Nov'!A26</f>
        <v>12104</v>
      </c>
      <c r="B26" s="32" t="str">
        <f>+'Access-Nov'!B26</f>
        <v>TRIBUNAL REGIONAL FEDERAL DA 3A. REGIAO</v>
      </c>
      <c r="C26" s="31" t="str">
        <f>CONCATENATE('Access-Nov'!C26,".",'Access-Nov'!D26)</f>
        <v>02.126</v>
      </c>
      <c r="D26" s="31" t="str">
        <f>CONCATENATE('Access-Nov'!E26,".",'Access-Nov'!G26)</f>
        <v>0569.151W</v>
      </c>
      <c r="E26" s="32" t="str">
        <f>+'Access-Nov'!F26</f>
        <v>PRESTACAO JURISDICIONAL NA JUSTICA FEDERAL</v>
      </c>
      <c r="F26" s="32" t="str">
        <f>+'Access-Nov'!H26</f>
        <v>DESENVOLVIMENTO E IMPLANTACAO DO SISTEMA PROCESSO JUDICIAL E</v>
      </c>
      <c r="G26" s="31" t="str">
        <f>IF('Access-Nov'!I26="1","F","S")</f>
        <v>F</v>
      </c>
      <c r="H26" s="31" t="str">
        <f>+'Access-Nov'!J26</f>
        <v>0100</v>
      </c>
      <c r="I26" s="32" t="str">
        <f>+'Access-Nov'!K26</f>
        <v>RECURSOS ORDINARIOS</v>
      </c>
      <c r="J26" s="31" t="str">
        <f>+'Access-Nov'!L26</f>
        <v>3</v>
      </c>
      <c r="K26" s="50"/>
      <c r="L26" s="50"/>
      <c r="M26" s="50"/>
      <c r="N26" s="50">
        <f t="shared" si="0"/>
        <v>0</v>
      </c>
      <c r="O26" s="50"/>
      <c r="P26" s="34">
        <f>'Access-Nov'!M26</f>
        <v>1531018</v>
      </c>
      <c r="Q26" s="34"/>
      <c r="R26" s="34">
        <f t="shared" si="1"/>
        <v>1531018</v>
      </c>
      <c r="S26" s="39">
        <f>'Access-Nov'!N26</f>
        <v>1531018</v>
      </c>
      <c r="T26" s="35">
        <f t="shared" si="2"/>
        <v>1</v>
      </c>
      <c r="U26" s="34">
        <f>'Access-Nov'!O26</f>
        <v>909562.72</v>
      </c>
      <c r="V26" s="35">
        <f t="shared" si="3"/>
        <v>0.59409015439400448</v>
      </c>
      <c r="W26" s="34">
        <f>'Access-Nov'!P26</f>
        <v>902343.01</v>
      </c>
      <c r="X26" s="35">
        <f t="shared" si="4"/>
        <v>0.58937452727531614</v>
      </c>
    </row>
    <row r="27" spans="1:24" ht="25.5" customHeight="1" x14ac:dyDescent="0.2">
      <c r="A27" s="31" t="str">
        <f>+'Access-Nov'!A27</f>
        <v>12104</v>
      </c>
      <c r="B27" s="32" t="str">
        <f>+'Access-Nov'!B27</f>
        <v>TRIBUNAL REGIONAL FEDERAL DA 3A. REGIAO</v>
      </c>
      <c r="C27" s="31" t="str">
        <f>CONCATENATE('Access-Nov'!C27,".",'Access-Nov'!D27)</f>
        <v>02.131</v>
      </c>
      <c r="D27" s="31" t="str">
        <f>CONCATENATE('Access-Nov'!E27,".",'Access-Nov'!G27)</f>
        <v>0569.2549</v>
      </c>
      <c r="E27" s="32" t="str">
        <f>+'Access-Nov'!F27</f>
        <v>PRESTACAO JURISDICIONAL NA JUSTICA FEDERAL</v>
      </c>
      <c r="F27" s="32" t="str">
        <f>+'Access-Nov'!H27</f>
        <v>COMUNICACAO E DIVULGACAO INSTITUCIONAL</v>
      </c>
      <c r="G27" s="31" t="str">
        <f>IF('Access-Nov'!I27="1","F","S")</f>
        <v>F</v>
      </c>
      <c r="H27" s="31" t="str">
        <f>+'Access-Nov'!J27</f>
        <v>0100</v>
      </c>
      <c r="I27" s="32" t="str">
        <f>+'Access-Nov'!K27</f>
        <v>RECURSOS ORDINARIOS</v>
      </c>
      <c r="J27" s="31" t="str">
        <f>+'Access-Nov'!L27</f>
        <v>3</v>
      </c>
      <c r="K27" s="50"/>
      <c r="L27" s="50"/>
      <c r="M27" s="50"/>
      <c r="N27" s="50">
        <f t="shared" si="0"/>
        <v>0</v>
      </c>
      <c r="O27" s="50"/>
      <c r="P27" s="34">
        <f>'Access-Nov'!M27</f>
        <v>517525</v>
      </c>
      <c r="Q27" s="34"/>
      <c r="R27" s="34">
        <f t="shared" si="1"/>
        <v>517525</v>
      </c>
      <c r="S27" s="39">
        <f>'Access-Nov'!N27</f>
        <v>483076.89</v>
      </c>
      <c r="T27" s="35">
        <f t="shared" si="2"/>
        <v>0.93343681947731993</v>
      </c>
      <c r="U27" s="34">
        <f>'Access-Nov'!O27</f>
        <v>401032.17</v>
      </c>
      <c r="V27" s="35">
        <f t="shared" si="3"/>
        <v>0.77490395633061204</v>
      </c>
      <c r="W27" s="34">
        <f>'Access-Nov'!P27</f>
        <v>361180.36</v>
      </c>
      <c r="X27" s="35">
        <f t="shared" si="4"/>
        <v>0.69789934785759145</v>
      </c>
    </row>
    <row r="28" spans="1:24" ht="25.5" customHeight="1" x14ac:dyDescent="0.2">
      <c r="A28" s="31" t="str">
        <f>+'Access-Nov'!A28</f>
        <v>12104</v>
      </c>
      <c r="B28" s="32" t="str">
        <f>+'Access-Nov'!B28</f>
        <v>TRIBUNAL REGIONAL FEDERAL DA 3A. REGIAO</v>
      </c>
      <c r="C28" s="31" t="str">
        <f>CONCATENATE('Access-Nov'!C28,".",'Access-Nov'!D28)</f>
        <v>02.301</v>
      </c>
      <c r="D28" s="31" t="str">
        <f>CONCATENATE('Access-Nov'!E28,".",'Access-Nov'!G28)</f>
        <v>0569.2004</v>
      </c>
      <c r="E28" s="32" t="str">
        <f>+'Access-Nov'!F28</f>
        <v>PRESTACAO JURISDICIONAL NA JUSTICA FEDERAL</v>
      </c>
      <c r="F28" s="32" t="str">
        <f>+'Access-Nov'!H28</f>
        <v>ASSISTENCIA MEDICA E ODONTOLOGICA AOS SERVIDORES CIVIS, EMPR</v>
      </c>
      <c r="G28" s="31" t="str">
        <f>IF('Access-Nov'!I28="1","F","S")</f>
        <v>S</v>
      </c>
      <c r="H28" s="31" t="str">
        <f>+'Access-Nov'!J28</f>
        <v>0100</v>
      </c>
      <c r="I28" s="32" t="str">
        <f>+'Access-Nov'!K28</f>
        <v>RECURSOS ORDINARIOS</v>
      </c>
      <c r="J28" s="31" t="str">
        <f>+'Access-Nov'!L28</f>
        <v>4</v>
      </c>
      <c r="K28" s="50"/>
      <c r="L28" s="50"/>
      <c r="M28" s="50"/>
      <c r="N28" s="50">
        <f t="shared" si="0"/>
        <v>0</v>
      </c>
      <c r="O28" s="50"/>
      <c r="P28" s="34">
        <f>'Access-Nov'!M28</f>
        <v>15000</v>
      </c>
      <c r="Q28" s="34"/>
      <c r="R28" s="34">
        <f t="shared" si="1"/>
        <v>15000</v>
      </c>
      <c r="S28" s="34">
        <f>'Access-Nov'!N28</f>
        <v>10589</v>
      </c>
      <c r="T28" s="35">
        <f t="shared" si="2"/>
        <v>0.7059333333333333</v>
      </c>
      <c r="U28" s="34">
        <f>'Access-Nov'!O28</f>
        <v>0</v>
      </c>
      <c r="V28" s="35">
        <f t="shared" si="3"/>
        <v>0</v>
      </c>
      <c r="W28" s="34">
        <f>'Access-Nov'!P28</f>
        <v>0</v>
      </c>
      <c r="X28" s="35">
        <f t="shared" si="4"/>
        <v>0</v>
      </c>
    </row>
    <row r="29" spans="1:24" ht="25.5" customHeight="1" x14ac:dyDescent="0.2">
      <c r="A29" s="31" t="str">
        <f>+'Access-Nov'!A29</f>
        <v>12104</v>
      </c>
      <c r="B29" s="32" t="str">
        <f>+'Access-Nov'!B29</f>
        <v>TRIBUNAL REGIONAL FEDERAL DA 3A. REGIAO</v>
      </c>
      <c r="C29" s="31" t="str">
        <f>CONCATENATE('Access-Nov'!C29,".",'Access-Nov'!D29)</f>
        <v>02.301</v>
      </c>
      <c r="D29" s="31" t="str">
        <f>CONCATENATE('Access-Nov'!E29,".",'Access-Nov'!G29)</f>
        <v>0569.2004</v>
      </c>
      <c r="E29" s="32" t="str">
        <f>+'Access-Nov'!F29</f>
        <v>PRESTACAO JURISDICIONAL NA JUSTICA FEDERAL</v>
      </c>
      <c r="F29" s="32" t="str">
        <f>+'Access-Nov'!H29</f>
        <v>ASSISTENCIA MEDICA E ODONTOLOGICA AOS SERVIDORES CIVIS, EMPR</v>
      </c>
      <c r="G29" s="31" t="str">
        <f>IF('Access-Nov'!I29="1","F","S")</f>
        <v>S</v>
      </c>
      <c r="H29" s="31" t="str">
        <f>+'Access-Nov'!J29</f>
        <v>0100</v>
      </c>
      <c r="I29" s="32" t="str">
        <f>+'Access-Nov'!K29</f>
        <v>RECURSOS ORDINARIOS</v>
      </c>
      <c r="J29" s="31" t="str">
        <f>+'Access-Nov'!L29</f>
        <v>3</v>
      </c>
      <c r="K29" s="50"/>
      <c r="L29" s="50"/>
      <c r="M29" s="50"/>
      <c r="N29" s="50">
        <f t="shared" si="0"/>
        <v>0</v>
      </c>
      <c r="O29" s="50"/>
      <c r="P29" s="34">
        <f>'Access-Nov'!M29</f>
        <v>12317400</v>
      </c>
      <c r="Q29" s="34"/>
      <c r="R29" s="34">
        <f t="shared" si="1"/>
        <v>12317400</v>
      </c>
      <c r="S29" s="34">
        <f>'Access-Nov'!N29</f>
        <v>11896041.1</v>
      </c>
      <c r="T29" s="35">
        <f t="shared" si="2"/>
        <v>0.96579157127315829</v>
      </c>
      <c r="U29" s="34">
        <f>'Access-Nov'!O29</f>
        <v>10126664.460000001</v>
      </c>
      <c r="V29" s="35">
        <f t="shared" si="3"/>
        <v>0.82214302206634526</v>
      </c>
      <c r="W29" s="34">
        <f>'Access-Nov'!P29</f>
        <v>10126664.460000001</v>
      </c>
      <c r="X29" s="35">
        <f t="shared" si="4"/>
        <v>0.82214302206634526</v>
      </c>
    </row>
    <row r="30" spans="1:24" ht="25.5" customHeight="1" x14ac:dyDescent="0.2">
      <c r="A30" s="31" t="str">
        <f>+'Access-Nov'!A30</f>
        <v>12104</v>
      </c>
      <c r="B30" s="32" t="str">
        <f>+'Access-Nov'!B30</f>
        <v>TRIBUNAL REGIONAL FEDERAL DA 3A. REGIAO</v>
      </c>
      <c r="C30" s="31" t="str">
        <f>CONCATENATE('Access-Nov'!C30,".",'Access-Nov'!D30)</f>
        <v>02.331</v>
      </c>
      <c r="D30" s="31" t="str">
        <f>CONCATENATE('Access-Nov'!E30,".",'Access-Nov'!G30)</f>
        <v>0569.00M1</v>
      </c>
      <c r="E30" s="32" t="str">
        <f>+'Access-Nov'!F30</f>
        <v>PRESTACAO JURISDICIONAL NA JUSTICA FEDERAL</v>
      </c>
      <c r="F30" s="32" t="str">
        <f>+'Access-Nov'!H30</f>
        <v>BENEFICIOS ASSISTENCIAIS DECORRENTES DO AUXILIO-FUNERAL E NA</v>
      </c>
      <c r="G30" s="31" t="str">
        <f>IF('Access-Nov'!I30="1","F","S")</f>
        <v>F</v>
      </c>
      <c r="H30" s="31" t="str">
        <f>+'Access-Nov'!J30</f>
        <v>0100</v>
      </c>
      <c r="I30" s="32" t="str">
        <f>+'Access-Nov'!K30</f>
        <v>RECURSOS ORDINARIOS</v>
      </c>
      <c r="J30" s="31" t="str">
        <f>+'Access-Nov'!L30</f>
        <v>3</v>
      </c>
      <c r="K30" s="50"/>
      <c r="L30" s="50"/>
      <c r="M30" s="50"/>
      <c r="N30" s="50">
        <f t="shared" si="0"/>
        <v>0</v>
      </c>
      <c r="O30" s="50"/>
      <c r="P30" s="34">
        <f>'Access-Nov'!M30</f>
        <v>93546.93</v>
      </c>
      <c r="Q30" s="34"/>
      <c r="R30" s="34">
        <f t="shared" si="1"/>
        <v>93546.93</v>
      </c>
      <c r="S30" s="34">
        <f>'Access-Nov'!N30</f>
        <v>93546.93</v>
      </c>
      <c r="T30" s="35">
        <f t="shared" si="2"/>
        <v>1</v>
      </c>
      <c r="U30" s="34">
        <f>'Access-Nov'!O30</f>
        <v>93546.93</v>
      </c>
      <c r="V30" s="35">
        <f t="shared" si="3"/>
        <v>1</v>
      </c>
      <c r="W30" s="34">
        <f>'Access-Nov'!P30</f>
        <v>93546.93</v>
      </c>
      <c r="X30" s="35">
        <f t="shared" si="4"/>
        <v>1</v>
      </c>
    </row>
    <row r="31" spans="1:24" ht="25.5" customHeight="1" x14ac:dyDescent="0.2">
      <c r="A31" s="31" t="str">
        <f>+'Access-Nov'!A31</f>
        <v>12104</v>
      </c>
      <c r="B31" s="32" t="str">
        <f>+'Access-Nov'!B31</f>
        <v>TRIBUNAL REGIONAL FEDERAL DA 3A. REGIAO</v>
      </c>
      <c r="C31" s="31" t="str">
        <f>CONCATENATE('Access-Nov'!C31,".",'Access-Nov'!D31)</f>
        <v>02.331</v>
      </c>
      <c r="D31" s="31" t="str">
        <f>CONCATENATE('Access-Nov'!E31,".",'Access-Nov'!G31)</f>
        <v>0569.2010</v>
      </c>
      <c r="E31" s="32" t="str">
        <f>+'Access-Nov'!F31</f>
        <v>PRESTACAO JURISDICIONAL NA JUSTICA FEDERAL</v>
      </c>
      <c r="F31" s="32" t="str">
        <f>+'Access-Nov'!H31</f>
        <v>ASSISTENCIA PRE-ESCOLAR AOS DEPENDENTES DOS SERVIDORES CIVIS</v>
      </c>
      <c r="G31" s="31" t="str">
        <f>IF('Access-Nov'!I31="1","F","S")</f>
        <v>F</v>
      </c>
      <c r="H31" s="31" t="str">
        <f>+'Access-Nov'!J31</f>
        <v>0100</v>
      </c>
      <c r="I31" s="32" t="str">
        <f>+'Access-Nov'!K31</f>
        <v>RECURSOS ORDINARIOS</v>
      </c>
      <c r="J31" s="31" t="str">
        <f>+'Access-Nov'!L31</f>
        <v>3</v>
      </c>
      <c r="K31" s="50"/>
      <c r="L31" s="50"/>
      <c r="M31" s="50"/>
      <c r="N31" s="50">
        <f t="shared" si="0"/>
        <v>0</v>
      </c>
      <c r="O31" s="50"/>
      <c r="P31" s="34">
        <f>'Access-Nov'!M31</f>
        <v>2170448</v>
      </c>
      <c r="Q31" s="34"/>
      <c r="R31" s="34">
        <f t="shared" si="1"/>
        <v>2170448</v>
      </c>
      <c r="S31" s="34">
        <f>'Access-Nov'!N31</f>
        <v>2170448</v>
      </c>
      <c r="T31" s="35">
        <f t="shared" si="2"/>
        <v>1</v>
      </c>
      <c r="U31" s="34">
        <f>'Access-Nov'!O31</f>
        <v>1968384</v>
      </c>
      <c r="V31" s="35">
        <f t="shared" si="3"/>
        <v>0.90690216950601898</v>
      </c>
      <c r="W31" s="34">
        <f>'Access-Nov'!P31</f>
        <v>1968384</v>
      </c>
      <c r="X31" s="35">
        <f t="shared" si="4"/>
        <v>0.90690216950601898</v>
      </c>
    </row>
    <row r="32" spans="1:24" ht="25.5" customHeight="1" x14ac:dyDescent="0.2">
      <c r="A32" s="31" t="str">
        <f>+'Access-Nov'!A32</f>
        <v>12104</v>
      </c>
      <c r="B32" s="32" t="str">
        <f>+'Access-Nov'!B32</f>
        <v>TRIBUNAL REGIONAL FEDERAL DA 3A. REGIAO</v>
      </c>
      <c r="C32" s="31" t="str">
        <f>CONCATENATE('Access-Nov'!C32,".",'Access-Nov'!D32)</f>
        <v>02.331</v>
      </c>
      <c r="D32" s="31" t="str">
        <f>CONCATENATE('Access-Nov'!E32,".",'Access-Nov'!G32)</f>
        <v>0569.2011</v>
      </c>
      <c r="E32" s="32" t="str">
        <f>+'Access-Nov'!F32</f>
        <v>PRESTACAO JURISDICIONAL NA JUSTICA FEDERAL</v>
      </c>
      <c r="F32" s="32" t="str">
        <f>+'Access-Nov'!H32</f>
        <v>AUXILIO-TRANSPORTE AOS SERVIDORES CIVIS, EMPREGADOS E MILITA</v>
      </c>
      <c r="G32" s="31" t="str">
        <f>IF('Access-Nov'!I32="1","F","S")</f>
        <v>F</v>
      </c>
      <c r="H32" s="31" t="str">
        <f>+'Access-Nov'!J32</f>
        <v>0100</v>
      </c>
      <c r="I32" s="32" t="str">
        <f>+'Access-Nov'!K32</f>
        <v>RECURSOS ORDINARIOS</v>
      </c>
      <c r="J32" s="31" t="str">
        <f>+'Access-Nov'!L32</f>
        <v>3</v>
      </c>
      <c r="K32" s="50"/>
      <c r="L32" s="50"/>
      <c r="M32" s="50"/>
      <c r="N32" s="50">
        <f t="shared" si="0"/>
        <v>0</v>
      </c>
      <c r="O32" s="50"/>
      <c r="P32" s="34">
        <f>'Access-Nov'!M32</f>
        <v>1236000</v>
      </c>
      <c r="Q32" s="34"/>
      <c r="R32" s="34">
        <f>N32-O32+P32</f>
        <v>1236000</v>
      </c>
      <c r="S32" s="34">
        <f>'Access-Nov'!N32</f>
        <v>1236000</v>
      </c>
      <c r="T32" s="35">
        <f t="shared" si="2"/>
        <v>1</v>
      </c>
      <c r="U32" s="34">
        <f>'Access-Nov'!O32</f>
        <v>943072.47</v>
      </c>
      <c r="V32" s="35">
        <f t="shared" si="3"/>
        <v>0.76300361650485438</v>
      </c>
      <c r="W32" s="34">
        <f>'Access-Nov'!P32</f>
        <v>943072.47</v>
      </c>
      <c r="X32" s="35">
        <f t="shared" si="4"/>
        <v>0.76300361650485438</v>
      </c>
    </row>
    <row r="33" spans="1:24" ht="25.5" customHeight="1" x14ac:dyDescent="0.2">
      <c r="A33" s="31" t="str">
        <f>+'Access-Nov'!A33</f>
        <v>12104</v>
      </c>
      <c r="B33" s="32" t="str">
        <f>+'Access-Nov'!B33</f>
        <v>TRIBUNAL REGIONAL FEDERAL DA 3A. REGIAO</v>
      </c>
      <c r="C33" s="31" t="str">
        <f>CONCATENATE('Access-Nov'!C33,".",'Access-Nov'!D33)</f>
        <v>02.331</v>
      </c>
      <c r="D33" s="31" t="str">
        <f>CONCATENATE('Access-Nov'!E33,".",'Access-Nov'!G33)</f>
        <v>0569.2012</v>
      </c>
      <c r="E33" s="32" t="str">
        <f>+'Access-Nov'!F33</f>
        <v>PRESTACAO JURISDICIONAL NA JUSTICA FEDERAL</v>
      </c>
      <c r="F33" s="32" t="str">
        <f>+'Access-Nov'!H33</f>
        <v>AUXILIO-ALIMENTACAO AOS SERVIDORES CIVIS, EMPREGADOS E MILIT</v>
      </c>
      <c r="G33" s="31" t="str">
        <f>IF('Access-Nov'!I33="1","F","S")</f>
        <v>F</v>
      </c>
      <c r="H33" s="31" t="str">
        <f>+'Access-Nov'!J33</f>
        <v>0100</v>
      </c>
      <c r="I33" s="32" t="str">
        <f>+'Access-Nov'!K33</f>
        <v>RECURSOS ORDINARIOS</v>
      </c>
      <c r="J33" s="31" t="str">
        <f>+'Access-Nov'!L33</f>
        <v>3</v>
      </c>
      <c r="K33" s="50"/>
      <c r="L33" s="50"/>
      <c r="M33" s="50"/>
      <c r="N33" s="50">
        <f t="shared" ref="N33:N35" si="5">+K33+L33-M33</f>
        <v>0</v>
      </c>
      <c r="O33" s="50"/>
      <c r="P33" s="34">
        <f>'Access-Nov'!M33</f>
        <v>19565248</v>
      </c>
      <c r="Q33" s="34"/>
      <c r="R33" s="34">
        <f t="shared" ref="R33:R35" si="6">N33-O33+P33</f>
        <v>19565248</v>
      </c>
      <c r="S33" s="34">
        <f>'Access-Nov'!N33</f>
        <v>19565248</v>
      </c>
      <c r="T33" s="35">
        <f t="shared" ref="T33:T35" si="7">IF(R33&gt;0,S33/R33,0)</f>
        <v>1</v>
      </c>
      <c r="U33" s="34">
        <f>'Access-Nov'!O33</f>
        <v>17777360.02</v>
      </c>
      <c r="V33" s="35">
        <f t="shared" ref="V33:V35" si="8">IF(R33&gt;0,U33/R33,0)</f>
        <v>0.90861920176018207</v>
      </c>
      <c r="W33" s="34">
        <f>'Access-Nov'!P33</f>
        <v>17777360.02</v>
      </c>
      <c r="X33" s="35">
        <f t="shared" ref="X33:X35" si="9">IF(R33&gt;0,W33/R33,0)</f>
        <v>0.90861920176018207</v>
      </c>
    </row>
    <row r="34" spans="1:24" ht="25.5" customHeight="1" x14ac:dyDescent="0.2">
      <c r="A34" s="31" t="str">
        <f>+'Access-Nov'!A34</f>
        <v>12104</v>
      </c>
      <c r="B34" s="32" t="str">
        <f>+'Access-Nov'!B34</f>
        <v>TRIBUNAL REGIONAL FEDERAL DA 3A. REGIAO</v>
      </c>
      <c r="C34" s="31" t="str">
        <f>CONCATENATE('Access-Nov'!C34,".",'Access-Nov'!D34)</f>
        <v>02.846</v>
      </c>
      <c r="D34" s="31" t="str">
        <f>CONCATENATE('Access-Nov'!E34,".",'Access-Nov'!G34)</f>
        <v>0569.09HB</v>
      </c>
      <c r="E34" s="32" t="str">
        <f>+'Access-Nov'!F34</f>
        <v>PRESTACAO JURISDICIONAL NA JUSTICA FEDERAL</v>
      </c>
      <c r="F34" s="32" t="str">
        <f>+'Access-Nov'!H34</f>
        <v>CONTRIBUICAO DA UNIAO, DE SUAS AUTARQUIAS E FUNDACOES PARA O</v>
      </c>
      <c r="G34" s="31" t="str">
        <f>IF('Access-Nov'!I34="1","F","S")</f>
        <v>F</v>
      </c>
      <c r="H34" s="31" t="str">
        <f>+'Access-Nov'!J34</f>
        <v>0100</v>
      </c>
      <c r="I34" s="32" t="str">
        <f>+'Access-Nov'!K34</f>
        <v>RECURSOS ORDINARIOS</v>
      </c>
      <c r="J34" s="31" t="str">
        <f>+'Access-Nov'!L34</f>
        <v>1</v>
      </c>
      <c r="K34" s="50"/>
      <c r="L34" s="50"/>
      <c r="M34" s="50"/>
      <c r="N34" s="50">
        <f t="shared" si="5"/>
        <v>0</v>
      </c>
      <c r="O34" s="50"/>
      <c r="P34" s="34">
        <f>'Access-Nov'!M34</f>
        <v>61320012.869999997</v>
      </c>
      <c r="Q34" s="34"/>
      <c r="R34" s="34">
        <f t="shared" si="6"/>
        <v>61320012.869999997</v>
      </c>
      <c r="S34" s="34">
        <f>'Access-Nov'!N34</f>
        <v>61320012.869999997</v>
      </c>
      <c r="T34" s="35">
        <f t="shared" si="7"/>
        <v>1</v>
      </c>
      <c r="U34" s="34">
        <f>'Access-Nov'!O34</f>
        <v>61320012.869999997</v>
      </c>
      <c r="V34" s="35">
        <f t="shared" si="8"/>
        <v>1</v>
      </c>
      <c r="W34" s="34">
        <f>'Access-Nov'!P34</f>
        <v>61320012.869999997</v>
      </c>
      <c r="X34" s="35">
        <f t="shared" si="9"/>
        <v>1</v>
      </c>
    </row>
    <row r="35" spans="1:24" ht="25.5" customHeight="1" x14ac:dyDescent="0.2">
      <c r="A35" s="31" t="str">
        <f>+'Access-Nov'!A35</f>
        <v>12104</v>
      </c>
      <c r="B35" s="32" t="str">
        <f>+'Access-Nov'!B35</f>
        <v>TRIBUNAL REGIONAL FEDERAL DA 3A. REGIAO</v>
      </c>
      <c r="C35" s="31" t="str">
        <f>CONCATENATE('Access-Nov'!C35,".",'Access-Nov'!D35)</f>
        <v>09.272</v>
      </c>
      <c r="D35" s="31" t="str">
        <f>CONCATENATE('Access-Nov'!E35,".",'Access-Nov'!G35)</f>
        <v>0089.0181</v>
      </c>
      <c r="E35" s="32" t="str">
        <f>+'Access-Nov'!F35</f>
        <v>PREVIDENCIA DE INATIVOS E PENSIONISTAS DA UNIAO</v>
      </c>
      <c r="F35" s="32" t="str">
        <f>+'Access-Nov'!H35</f>
        <v>APOSENTADORIAS E PENSOES - SERVIDORES CIVIS</v>
      </c>
      <c r="G35" s="31" t="str">
        <f>IF('Access-Nov'!I35="1","F","S")</f>
        <v>S</v>
      </c>
      <c r="H35" s="31" t="str">
        <f>+'Access-Nov'!J35</f>
        <v>0100</v>
      </c>
      <c r="I35" s="32" t="str">
        <f>+'Access-Nov'!K35</f>
        <v>RECURSOS ORDINARIOS</v>
      </c>
      <c r="J35" s="31" t="str">
        <f>+'Access-Nov'!L35</f>
        <v>1</v>
      </c>
      <c r="K35" s="50"/>
      <c r="L35" s="50"/>
      <c r="M35" s="50"/>
      <c r="N35" s="50">
        <f t="shared" si="5"/>
        <v>0</v>
      </c>
      <c r="O35" s="50"/>
      <c r="P35" s="34">
        <f>'Access-Nov'!M35</f>
        <v>11436623.43</v>
      </c>
      <c r="Q35" s="34"/>
      <c r="R35" s="34">
        <f t="shared" si="6"/>
        <v>11436623.43</v>
      </c>
      <c r="S35" s="34">
        <f>'Access-Nov'!N35</f>
        <v>11436623.43</v>
      </c>
      <c r="T35" s="35">
        <f t="shared" si="7"/>
        <v>1</v>
      </c>
      <c r="U35" s="34">
        <f>'Access-Nov'!O35</f>
        <v>11436623.43</v>
      </c>
      <c r="V35" s="35">
        <f t="shared" si="8"/>
        <v>1</v>
      </c>
      <c r="W35" s="34">
        <f>'Access-Nov'!P35</f>
        <v>10948675.4</v>
      </c>
      <c r="X35" s="35">
        <f t="shared" si="9"/>
        <v>0.9573346072827722</v>
      </c>
    </row>
    <row r="36" spans="1:24" ht="25.5" customHeight="1" x14ac:dyDescent="0.2">
      <c r="A36" s="31" t="str">
        <f>+'Access-Nov'!A36</f>
        <v>12104</v>
      </c>
      <c r="B36" s="32" t="str">
        <f>+'Access-Nov'!B36</f>
        <v>TRIBUNAL REGIONAL FEDERAL DA 3A. REGIAO</v>
      </c>
      <c r="C36" s="31" t="str">
        <f>CONCATENATE('Access-Nov'!C36,".",'Access-Nov'!D36)</f>
        <v>09.272</v>
      </c>
      <c r="D36" s="31" t="str">
        <f>CONCATENATE('Access-Nov'!E36,".",'Access-Nov'!G36)</f>
        <v>0089.0181</v>
      </c>
      <c r="E36" s="32" t="str">
        <f>+'Access-Nov'!F36</f>
        <v>PREVIDENCIA DE INATIVOS E PENSIONISTAS DA UNIAO</v>
      </c>
      <c r="F36" s="32" t="str">
        <f>+'Access-Nov'!H36</f>
        <v>APOSENTADORIAS E PENSOES - SERVIDORES CIVIS</v>
      </c>
      <c r="G36" s="31" t="str">
        <f>IF('Access-Nov'!I36="1","F","S")</f>
        <v>S</v>
      </c>
      <c r="H36" s="31" t="str">
        <f>+'Access-Nov'!J36</f>
        <v>0156</v>
      </c>
      <c r="I36" s="32" t="str">
        <f>+'Access-Nov'!K36</f>
        <v>CONTRIBUICAO PLANO SEGURIDADE SOCIAL SERVIDOR</v>
      </c>
      <c r="J36" s="31" t="str">
        <f>+'Access-Nov'!L36</f>
        <v>1</v>
      </c>
      <c r="K36" s="50"/>
      <c r="L36" s="50"/>
      <c r="M36" s="50"/>
      <c r="N36" s="50">
        <f t="shared" ref="N36:N37" si="10">+K36+L36-M36</f>
        <v>0</v>
      </c>
      <c r="O36" s="50"/>
      <c r="P36" s="34">
        <f>'Access-Nov'!M36</f>
        <v>27600000</v>
      </c>
      <c r="Q36" s="34"/>
      <c r="R36" s="34">
        <f t="shared" ref="R36:R37" si="11">N36-O36+P36</f>
        <v>27600000</v>
      </c>
      <c r="S36" s="34">
        <f>'Access-Nov'!N36</f>
        <v>27600000</v>
      </c>
      <c r="T36" s="35">
        <f t="shared" ref="T36:T37" si="12">IF(R36&gt;0,S36/R36,0)</f>
        <v>1</v>
      </c>
      <c r="U36" s="34">
        <f>'Access-Nov'!O36</f>
        <v>27600000</v>
      </c>
      <c r="V36" s="35">
        <f t="shared" ref="V36:V37" si="13">IF(R36&gt;0,U36/R36,0)</f>
        <v>1</v>
      </c>
      <c r="W36" s="34">
        <f>'Access-Nov'!P36</f>
        <v>27600000</v>
      </c>
      <c r="X36" s="35">
        <f t="shared" ref="X36:X37" si="14">IF(R36&gt;0,W36/R36,0)</f>
        <v>1</v>
      </c>
    </row>
    <row r="37" spans="1:24" ht="25.5" customHeight="1" thickBot="1" x14ac:dyDescent="0.25">
      <c r="A37" s="31" t="str">
        <f>+'Access-Nov'!A37</f>
        <v>12104</v>
      </c>
      <c r="B37" s="32" t="str">
        <f>+'Access-Nov'!B37</f>
        <v>TRIBUNAL REGIONAL FEDERAL DA 3A. REGIAO</v>
      </c>
      <c r="C37" s="31" t="str">
        <f>CONCATENATE('Access-Nov'!C37,".",'Access-Nov'!D37)</f>
        <v>09.272</v>
      </c>
      <c r="D37" s="31" t="str">
        <f>CONCATENATE('Access-Nov'!E37,".",'Access-Nov'!G37)</f>
        <v>0089.0181</v>
      </c>
      <c r="E37" s="32" t="str">
        <f>+'Access-Nov'!F37</f>
        <v>PREVIDENCIA DE INATIVOS E PENSIONISTAS DA UNIAO</v>
      </c>
      <c r="F37" s="32" t="str">
        <f>+'Access-Nov'!H37</f>
        <v>APOSENTADORIAS E PENSOES - SERVIDORES CIVIS</v>
      </c>
      <c r="G37" s="31" t="str">
        <f>IF('Access-Nov'!I37="1","F","S")</f>
        <v>S</v>
      </c>
      <c r="H37" s="31" t="str">
        <f>+'Access-Nov'!J37</f>
        <v>0169</v>
      </c>
      <c r="I37" s="32" t="str">
        <f>+'Access-Nov'!K37</f>
        <v>CONTRIB.PATRONAL P/PLANO DE SEGURID.SOC.SERV.</v>
      </c>
      <c r="J37" s="31" t="str">
        <f>+'Access-Nov'!L37</f>
        <v>1</v>
      </c>
      <c r="K37" s="50"/>
      <c r="L37" s="50"/>
      <c r="M37" s="50"/>
      <c r="N37" s="50">
        <f t="shared" si="10"/>
        <v>0</v>
      </c>
      <c r="O37" s="50"/>
      <c r="P37" s="34">
        <f>'Access-Nov'!M37</f>
        <v>55200000</v>
      </c>
      <c r="Q37" s="34"/>
      <c r="R37" s="34">
        <f t="shared" si="11"/>
        <v>55200000</v>
      </c>
      <c r="S37" s="34">
        <f>'Access-Nov'!N37</f>
        <v>55200000</v>
      </c>
      <c r="T37" s="35">
        <f t="shared" si="12"/>
        <v>1</v>
      </c>
      <c r="U37" s="34">
        <f>'Access-Nov'!O37</f>
        <v>55200000</v>
      </c>
      <c r="V37" s="35">
        <f t="shared" si="13"/>
        <v>1</v>
      </c>
      <c r="W37" s="34">
        <f>'Access-Nov'!P37</f>
        <v>55200000</v>
      </c>
      <c r="X37" s="35">
        <f t="shared" si="14"/>
        <v>1</v>
      </c>
    </row>
    <row r="38" spans="1:24" ht="25.5" customHeight="1" thickBot="1" x14ac:dyDescent="0.25">
      <c r="A38" s="86" t="s">
        <v>113</v>
      </c>
      <c r="B38" s="87"/>
      <c r="C38" s="87"/>
      <c r="D38" s="87"/>
      <c r="E38" s="87"/>
      <c r="F38" s="87"/>
      <c r="G38" s="87"/>
      <c r="H38" s="87"/>
      <c r="I38" s="87"/>
      <c r="J38" s="88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615454217.29999995</v>
      </c>
      <c r="Q38" s="52">
        <f>SUM(Q10:Q37)</f>
        <v>0</v>
      </c>
      <c r="R38" s="52">
        <f>SUM(R10:R37)</f>
        <v>615454217.29999995</v>
      </c>
      <c r="S38" s="52">
        <f>SUM(S10:S37)</f>
        <v>595446302.31000006</v>
      </c>
      <c r="T38" s="43">
        <f t="shared" si="2"/>
        <v>0.967490815031255</v>
      </c>
      <c r="U38" s="52">
        <f>SUM(U10:U37)</f>
        <v>575081317.92000008</v>
      </c>
      <c r="V38" s="43">
        <f t="shared" si="3"/>
        <v>0.93440145790678641</v>
      </c>
      <c r="W38" s="52">
        <f>SUM(W10:W37)</f>
        <v>570650755.44000006</v>
      </c>
      <c r="X38" s="43">
        <f t="shared" si="4"/>
        <v>0.92720260808910715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615454217.29999995</v>
      </c>
      <c r="Q43" s="54"/>
      <c r="R43" s="54">
        <f>SUM(R10:R37)</f>
        <v>615454217.29999995</v>
      </c>
      <c r="S43" s="54">
        <f>SUM(S10:S37)</f>
        <v>595446302.31000006</v>
      </c>
      <c r="T43" s="54"/>
      <c r="U43" s="54">
        <f>SUM(U10:U37)</f>
        <v>575081317.92000008</v>
      </c>
      <c r="V43" s="54"/>
      <c r="W43" s="54">
        <f>SUM(W10:W37)</f>
        <v>570650755.44000006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'Access-Nov'!M39</f>
        <v>615454217.29999995</v>
      </c>
      <c r="Q44" s="37"/>
      <c r="R44" s="37">
        <f>'Access-Nov'!M39</f>
        <v>615454217.29999995</v>
      </c>
      <c r="S44" s="37">
        <f>'Access-Nov'!N39</f>
        <v>595446302.31000006</v>
      </c>
      <c r="T44" s="37"/>
      <c r="U44" s="37">
        <f>'Access-Nov'!O39</f>
        <v>575081317.92000008</v>
      </c>
      <c r="V44" s="37"/>
      <c r="W44" s="37">
        <f>'Access-Nov'!P39</f>
        <v>570650755.44000006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8" spans="1:24" ht="25.5" customHeight="1" x14ac:dyDescent="0.2">
      <c r="N48" s="1" t="s">
        <v>145</v>
      </c>
      <c r="P48" s="67">
        <f>614964574.49+489642.81</f>
        <v>615454217.29999995</v>
      </c>
      <c r="R48" s="67">
        <f>P48</f>
        <v>615454217.29999995</v>
      </c>
      <c r="S48" s="1">
        <f>594987805.89+458496.42</f>
        <v>595446302.30999994</v>
      </c>
      <c r="U48" s="67">
        <f>574892403.1+188914.82</f>
        <v>575081317.92000008</v>
      </c>
      <c r="W48" s="67">
        <f>570469349.39+181406.05</f>
        <v>570650755.43999994</v>
      </c>
    </row>
    <row r="49" spans="16:23" ht="25.5" customHeight="1" x14ac:dyDescent="0.2">
      <c r="P49" s="37">
        <f>+P48-P38</f>
        <v>0</v>
      </c>
      <c r="R49" s="37">
        <f>+R48-R38</f>
        <v>0</v>
      </c>
      <c r="S49" s="37">
        <f>+S48-S38</f>
        <v>0</v>
      </c>
      <c r="U49" s="37">
        <f>+U48-U38</f>
        <v>0</v>
      </c>
      <c r="W49" s="37">
        <f>+W48-W38</f>
        <v>0</v>
      </c>
    </row>
  </sheetData>
  <mergeCells count="17">
    <mergeCell ref="H8:I8"/>
    <mergeCell ref="J8:J9"/>
    <mergeCell ref="A38:J3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view="pageBreakPreview" topLeftCell="J33" zoomScaleNormal="70" zoomScaleSheetLayoutView="100" workbookViewId="0">
      <selection activeCell="A33" sqref="A33:XFD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8.140625" style="3" customWidth="1"/>
    <col min="17" max="17" width="11" style="1" customWidth="1"/>
    <col min="18" max="18" width="18.7109375" style="3" customWidth="1"/>
    <col min="19" max="19" width="18.85546875" style="1" customWidth="1"/>
    <col min="20" max="20" width="9.28515625" style="3" bestFit="1" customWidth="1"/>
    <col min="21" max="21" width="15" style="4" bestFit="1" customWidth="1"/>
    <col min="22" max="22" width="9.28515625" style="4" bestFit="1" customWidth="1"/>
    <col min="23" max="23" width="17.28515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43070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+'Access-Dez'!A9</f>
        <v>12101</v>
      </c>
      <c r="B10" s="25" t="str">
        <f>+'Access-Dez'!B9</f>
        <v>JUSTICA FEDERAL DE PRIMEIRO GRAU</v>
      </c>
      <c r="C10" s="26" t="str">
        <f>CONCATENATE('Access-Dez'!C9,".",'Access-Dez'!D9)</f>
        <v>02.061</v>
      </c>
      <c r="D10" s="26" t="str">
        <f>CONCATENATE('Access-Dez'!E9,".",'Access-Dez'!G9)</f>
        <v>0569.4257</v>
      </c>
      <c r="E10" s="25" t="str">
        <f>+'Access-Dez'!F9</f>
        <v>PRESTACAO JURISDICIONAL NA JUSTICA FEDERAL</v>
      </c>
      <c r="F10" s="27" t="str">
        <f>+'Access-Dez'!H9</f>
        <v>JULGAMENTO DE CAUSAS NA JUSTICA FEDERAL</v>
      </c>
      <c r="G10" s="24" t="str">
        <f>IF('Access-Dez'!I9="1","F","S")</f>
        <v>F</v>
      </c>
      <c r="H10" s="24" t="str">
        <f>+'Access-Dez'!J9</f>
        <v>0100</v>
      </c>
      <c r="I10" s="28" t="str">
        <f>+'Access-Dez'!K9</f>
        <v>RECURSOS ORDINARIOS</v>
      </c>
      <c r="J10" s="24" t="str">
        <f>+'Access-Dez'!L9</f>
        <v>4</v>
      </c>
      <c r="K10" s="47"/>
      <c r="L10" s="48"/>
      <c r="M10" s="48"/>
      <c r="N10" s="49">
        <f>+K10+L10-M10</f>
        <v>0</v>
      </c>
      <c r="O10" s="47"/>
      <c r="P10" s="29">
        <f>'Access-Dez'!M9</f>
        <v>0</v>
      </c>
      <c r="Q10" s="29"/>
      <c r="R10" s="29">
        <f>N10-O10+P10</f>
        <v>0</v>
      </c>
      <c r="S10" s="29">
        <f>'Access-Dez'!N9</f>
        <v>0</v>
      </c>
      <c r="T10" s="44">
        <f>IF(R10&gt;0,S10/R10,0)</f>
        <v>0</v>
      </c>
      <c r="U10" s="29">
        <f>'Access-Dez'!O9</f>
        <v>0</v>
      </c>
      <c r="V10" s="30">
        <f>IF(R10&gt;0,U10/R10,0)</f>
        <v>0</v>
      </c>
      <c r="W10" s="29">
        <f>'Access-Dez'!P9</f>
        <v>0</v>
      </c>
      <c r="X10" s="30">
        <f>IF(R10&gt;0,W10/R10,0)</f>
        <v>0</v>
      </c>
    </row>
    <row r="11" spans="1:24" ht="25.5" customHeight="1" x14ac:dyDescent="0.2">
      <c r="A11" s="31" t="str">
        <f>+'Access-Dez'!A10</f>
        <v>12101</v>
      </c>
      <c r="B11" s="32" t="str">
        <f>+'Access-Dez'!B10</f>
        <v>JUSTICA FEDERAL DE PRIMEIRO GRAU</v>
      </c>
      <c r="C11" s="31" t="str">
        <f>CONCATENATE('Access-Dez'!C10,".",'Access-Dez'!D10)</f>
        <v>02.061</v>
      </c>
      <c r="D11" s="31" t="str">
        <f>CONCATENATE('Access-Dez'!E10,".",'Access-Dez'!G10)</f>
        <v>0569.4257</v>
      </c>
      <c r="E11" s="32" t="str">
        <f>+'Access-Dez'!F10</f>
        <v>PRESTACAO JURISDICIONAL NA JUSTICA FEDERAL</v>
      </c>
      <c r="F11" s="33" t="str">
        <f>+'Access-Dez'!H10</f>
        <v>JULGAMENTO DE CAUSAS NA JUSTICA FEDERAL</v>
      </c>
      <c r="G11" s="31" t="str">
        <f>IF('Access-Dez'!I10="1","F","S")</f>
        <v>F</v>
      </c>
      <c r="H11" s="31" t="str">
        <f>+'Access-Dez'!J10</f>
        <v>0181</v>
      </c>
      <c r="I11" s="32" t="str">
        <f>+'Access-Dez'!K10</f>
        <v>RECURSOS DE CONVENIOS</v>
      </c>
      <c r="J11" s="31" t="str">
        <f>+'Access-Dez'!L10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'Access-Dez'!M10</f>
        <v>0</v>
      </c>
      <c r="Q11" s="34"/>
      <c r="R11" s="34">
        <f t="shared" ref="R11:R32" si="1">N11-O11+P11</f>
        <v>0</v>
      </c>
      <c r="S11" s="34">
        <f>'Access-Dez'!N10</f>
        <v>0</v>
      </c>
      <c r="T11" s="35">
        <f t="shared" ref="T11:T38" si="2">IF(R11&gt;0,S11/R11,0)</f>
        <v>0</v>
      </c>
      <c r="U11" s="34">
        <f>'Access-Dez'!O10</f>
        <v>0</v>
      </c>
      <c r="V11" s="35">
        <f t="shared" ref="V11:V38" si="3">IF(R11&gt;0,U11/R11,0)</f>
        <v>0</v>
      </c>
      <c r="W11" s="34">
        <f>'Access-Dez'!P10</f>
        <v>0</v>
      </c>
      <c r="X11" s="35">
        <f t="shared" ref="X11:X38" si="4">IF(R11&gt;0,W11/R11,0)</f>
        <v>0</v>
      </c>
    </row>
    <row r="12" spans="1:24" ht="25.5" customHeight="1" x14ac:dyDescent="0.2">
      <c r="A12" s="31" t="str">
        <f>+'Access-Dez'!A11</f>
        <v>12104</v>
      </c>
      <c r="B12" s="32" t="str">
        <f>+'Access-Dez'!B11</f>
        <v>TRIBUNAL REGIONAL FEDERAL DA 3A. REGIAO</v>
      </c>
      <c r="C12" s="31" t="str">
        <f>CONCATENATE('Access-Dez'!C11,".",'Access-Dez'!D11)</f>
        <v>02.061</v>
      </c>
      <c r="D12" s="31" t="str">
        <f>CONCATENATE('Access-Dez'!E11,".",'Access-Dez'!G11)</f>
        <v>0569.4224</v>
      </c>
      <c r="E12" s="32" t="str">
        <f>+'Access-Dez'!F11</f>
        <v>PRESTACAO JURISDICIONAL NA JUSTICA FEDERAL</v>
      </c>
      <c r="F12" s="32" t="str">
        <f>+'Access-Dez'!H11</f>
        <v>ASSISTENCIA JURIDICA A PESSOAS CARENTES</v>
      </c>
      <c r="G12" s="31" t="str">
        <f>IF('Access-Dez'!I11="1","F","S")</f>
        <v>F</v>
      </c>
      <c r="H12" s="31" t="str">
        <f>+'Access-Dez'!J11</f>
        <v>0100</v>
      </c>
      <c r="I12" s="32" t="str">
        <f>+'Access-Dez'!K11</f>
        <v>RECURSOS ORDINARIOS</v>
      </c>
      <c r="J12" s="31" t="str">
        <f>+'Access-Dez'!L11</f>
        <v>3</v>
      </c>
      <c r="K12" s="34"/>
      <c r="L12" s="34"/>
      <c r="M12" s="34"/>
      <c r="N12" s="50">
        <f t="shared" si="0"/>
        <v>0</v>
      </c>
      <c r="O12" s="34"/>
      <c r="P12" s="34">
        <f>'Access-Dez'!M11</f>
        <v>15000</v>
      </c>
      <c r="Q12" s="34"/>
      <c r="R12" s="34">
        <f t="shared" si="1"/>
        <v>15000</v>
      </c>
      <c r="S12" s="39">
        <f>'Access-Dez'!N11</f>
        <v>1302.73</v>
      </c>
      <c r="T12" s="35">
        <f t="shared" si="2"/>
        <v>8.6848666666666671E-2</v>
      </c>
      <c r="U12" s="34">
        <f>'Access-Dez'!O11</f>
        <v>1302.73</v>
      </c>
      <c r="V12" s="35">
        <f t="shared" si="3"/>
        <v>8.6848666666666671E-2</v>
      </c>
      <c r="W12" s="34">
        <f>'Access-Dez'!P11</f>
        <v>1302.73</v>
      </c>
      <c r="X12" s="35">
        <f t="shared" si="4"/>
        <v>8.6848666666666671E-2</v>
      </c>
    </row>
    <row r="13" spans="1:24" ht="25.5" customHeight="1" x14ac:dyDescent="0.2">
      <c r="A13" s="31" t="str">
        <f>+'Access-Dez'!A12</f>
        <v>12104</v>
      </c>
      <c r="B13" s="32" t="str">
        <f>+'Access-Dez'!B12</f>
        <v>TRIBUNAL REGIONAL FEDERAL DA 3A. REGIAO</v>
      </c>
      <c r="C13" s="31" t="str">
        <f>CONCATENATE('Access-Dez'!C12,".",'Access-Dez'!D12)</f>
        <v>02.061</v>
      </c>
      <c r="D13" s="31" t="str">
        <f>CONCATENATE('Access-Dez'!E12,".",'Access-Dez'!G12)</f>
        <v>0569.4257</v>
      </c>
      <c r="E13" s="32" t="str">
        <f>+'Access-Dez'!F12</f>
        <v>PRESTACAO JURISDICIONAL NA JUSTICA FEDERAL</v>
      </c>
      <c r="F13" s="32" t="str">
        <f>+'Access-Dez'!H12</f>
        <v>JULGAMENTO DE CAUSAS NA JUSTICA FEDERAL</v>
      </c>
      <c r="G13" s="31" t="str">
        <f>IF('Access-Dez'!I12="1","F","S")</f>
        <v>F</v>
      </c>
      <c r="H13" s="31" t="str">
        <f>+'Access-Dez'!J12</f>
        <v>0100</v>
      </c>
      <c r="I13" s="32" t="str">
        <f>+'Access-Dez'!K12</f>
        <v>RECURSOS ORDINARIOS</v>
      </c>
      <c r="J13" s="31" t="str">
        <f>+'Access-Dez'!L12</f>
        <v>4</v>
      </c>
      <c r="K13" s="34"/>
      <c r="L13" s="34"/>
      <c r="M13" s="34"/>
      <c r="N13" s="50">
        <f t="shared" si="0"/>
        <v>0</v>
      </c>
      <c r="O13" s="34"/>
      <c r="P13" s="34">
        <f>'Access-Dez'!M12</f>
        <v>4636416</v>
      </c>
      <c r="Q13" s="34"/>
      <c r="R13" s="34">
        <f t="shared" si="1"/>
        <v>4636416</v>
      </c>
      <c r="S13" s="39">
        <f>'Access-Dez'!N12</f>
        <v>4246926.9400000004</v>
      </c>
      <c r="T13" s="35">
        <f t="shared" si="2"/>
        <v>0.9159935044655183</v>
      </c>
      <c r="U13" s="34">
        <f>'Access-Dez'!O12</f>
        <v>2951369.49</v>
      </c>
      <c r="V13" s="35">
        <f t="shared" si="3"/>
        <v>0.63656270058596987</v>
      </c>
      <c r="W13" s="34">
        <f>'Access-Dez'!P12</f>
        <v>2951369.49</v>
      </c>
      <c r="X13" s="35">
        <f t="shared" si="4"/>
        <v>0.63656270058596987</v>
      </c>
    </row>
    <row r="14" spans="1:24" ht="25.5" customHeight="1" x14ac:dyDescent="0.2">
      <c r="A14" s="31" t="str">
        <f>+'Access-Dez'!A13</f>
        <v>12104</v>
      </c>
      <c r="B14" s="32" t="str">
        <f>+'Access-Dez'!B13</f>
        <v>TRIBUNAL REGIONAL FEDERAL DA 3A. REGIAO</v>
      </c>
      <c r="C14" s="31" t="str">
        <f>CONCATENATE('Access-Dez'!C13,".",'Access-Dez'!D13)</f>
        <v>02.061</v>
      </c>
      <c r="D14" s="31" t="str">
        <f>CONCATENATE('Access-Dez'!E13,".",'Access-Dez'!G13)</f>
        <v>0569.4257</v>
      </c>
      <c r="E14" s="32" t="str">
        <f>+'Access-Dez'!F13</f>
        <v>PRESTACAO JURISDICIONAL NA JUSTICA FEDERAL</v>
      </c>
      <c r="F14" s="32" t="str">
        <f>+'Access-Dez'!H13</f>
        <v>JULGAMENTO DE CAUSAS NA JUSTICA FEDERAL</v>
      </c>
      <c r="G14" s="31" t="str">
        <f>IF('Access-Dez'!I13="1","F","S")</f>
        <v>F</v>
      </c>
      <c r="H14" s="31" t="str">
        <f>+'Access-Dez'!J13</f>
        <v>0100</v>
      </c>
      <c r="I14" s="32" t="str">
        <f>+'Access-Dez'!K13</f>
        <v>RECURSOS ORDINARIOS</v>
      </c>
      <c r="J14" s="31" t="str">
        <f>+'Access-Dez'!L13</f>
        <v>3</v>
      </c>
      <c r="K14" s="34"/>
      <c r="L14" s="34"/>
      <c r="M14" s="34"/>
      <c r="N14" s="50">
        <f t="shared" si="0"/>
        <v>0</v>
      </c>
      <c r="O14" s="34"/>
      <c r="P14" s="34">
        <f>'Access-Dez'!M13</f>
        <v>46313315</v>
      </c>
      <c r="Q14" s="34"/>
      <c r="R14" s="34">
        <f t="shared" si="1"/>
        <v>46313315</v>
      </c>
      <c r="S14" s="39">
        <f>'Access-Dez'!N13</f>
        <v>40624647.670000002</v>
      </c>
      <c r="T14" s="35">
        <f t="shared" si="2"/>
        <v>0.87716993849392988</v>
      </c>
      <c r="U14" s="34">
        <f>'Access-Dez'!O13</f>
        <v>37748440.030000001</v>
      </c>
      <c r="V14" s="35">
        <f t="shared" si="3"/>
        <v>0.81506668287510842</v>
      </c>
      <c r="W14" s="34">
        <f>'Access-Dez'!P13</f>
        <v>37748440.030000001</v>
      </c>
      <c r="X14" s="35">
        <f t="shared" si="4"/>
        <v>0.81506668287510842</v>
      </c>
    </row>
    <row r="15" spans="1:24" ht="25.5" customHeight="1" x14ac:dyDescent="0.2">
      <c r="A15" s="31" t="str">
        <f>+'Access-Dez'!A14</f>
        <v>12104</v>
      </c>
      <c r="B15" s="32" t="str">
        <f>+'Access-Dez'!B14</f>
        <v>TRIBUNAL REGIONAL FEDERAL DA 3A. REGIAO</v>
      </c>
      <c r="C15" s="31" t="str">
        <f>CONCATENATE('Access-Dez'!C14,".",'Access-Dez'!D14)</f>
        <v>02.061</v>
      </c>
      <c r="D15" s="31" t="str">
        <f>CONCATENATE('Access-Dez'!E14,".",'Access-Dez'!G14)</f>
        <v>0569.4257</v>
      </c>
      <c r="E15" s="32" t="str">
        <f>+'Access-Dez'!F14</f>
        <v>PRESTACAO JURISDICIONAL NA JUSTICA FEDERAL</v>
      </c>
      <c r="F15" s="32" t="str">
        <f>+'Access-Dez'!H14</f>
        <v>JULGAMENTO DE CAUSAS NA JUSTICA FEDERAL</v>
      </c>
      <c r="G15" s="31" t="str">
        <f>IF('Access-Dez'!I14="1","F","S")</f>
        <v>F</v>
      </c>
      <c r="H15" s="31" t="str">
        <f>+'Access-Dez'!J14</f>
        <v>0127</v>
      </c>
      <c r="I15" s="32" t="str">
        <f>+'Access-Dez'!K14</f>
        <v>CUSTAS E EMOLUMENTOS - PODER JUDICIARIO</v>
      </c>
      <c r="J15" s="31" t="str">
        <f>+'Access-Dez'!L14</f>
        <v>3</v>
      </c>
      <c r="K15" s="50"/>
      <c r="L15" s="50"/>
      <c r="M15" s="50"/>
      <c r="N15" s="50">
        <f t="shared" si="0"/>
        <v>0</v>
      </c>
      <c r="O15" s="50"/>
      <c r="P15" s="34">
        <f>'Access-Dez'!M14</f>
        <v>6790890</v>
      </c>
      <c r="Q15" s="34"/>
      <c r="R15" s="34">
        <f t="shared" si="1"/>
        <v>6790890</v>
      </c>
      <c r="S15" s="39">
        <f>'Access-Dez'!N14</f>
        <v>6767832.46</v>
      </c>
      <c r="T15" s="35">
        <f t="shared" si="2"/>
        <v>0.99660463650567155</v>
      </c>
      <c r="U15" s="34">
        <f>'Access-Dez'!O14</f>
        <v>6457832.46</v>
      </c>
      <c r="V15" s="35">
        <f t="shared" si="3"/>
        <v>0.95095524445249446</v>
      </c>
      <c r="W15" s="34">
        <f>'Access-Dez'!P14</f>
        <v>6457832.46</v>
      </c>
      <c r="X15" s="35">
        <f t="shared" si="4"/>
        <v>0.95095524445249446</v>
      </c>
    </row>
    <row r="16" spans="1:24" ht="25.5" customHeight="1" x14ac:dyDescent="0.2">
      <c r="A16" s="31" t="str">
        <f>+'Access-Dez'!A15</f>
        <v>12104</v>
      </c>
      <c r="B16" s="32" t="str">
        <f>+'Access-Dez'!B15</f>
        <v>TRIBUNAL REGIONAL FEDERAL DA 3A. REGIAO</v>
      </c>
      <c r="C16" s="31" t="str">
        <f>CONCATENATE('Access-Dez'!C15,".",'Access-Dez'!D15)</f>
        <v>02.061</v>
      </c>
      <c r="D16" s="31" t="str">
        <f>CONCATENATE('Access-Dez'!E15,".",'Access-Dez'!G15)</f>
        <v>0569.4257</v>
      </c>
      <c r="E16" s="32" t="str">
        <f>+'Access-Dez'!F15</f>
        <v>PRESTACAO JURISDICIONAL NA JUSTICA FEDERAL</v>
      </c>
      <c r="F16" s="32" t="str">
        <f>+'Access-Dez'!H15</f>
        <v>JULGAMENTO DE CAUSAS NA JUSTICA FEDERAL</v>
      </c>
      <c r="G16" s="31" t="str">
        <f>IF('Access-Dez'!I15="1","F","S")</f>
        <v>F</v>
      </c>
      <c r="H16" s="31" t="str">
        <f>+'Access-Dez'!J15</f>
        <v>0150</v>
      </c>
      <c r="I16" s="32" t="str">
        <f>+'Access-Dez'!K15</f>
        <v>RECURSOS NAO-FINANCEIROS DIRETAM. ARRECADADOS</v>
      </c>
      <c r="J16" s="31" t="str">
        <f>+'Access-Dez'!L15</f>
        <v>3</v>
      </c>
      <c r="K16" s="34"/>
      <c r="L16" s="34"/>
      <c r="M16" s="34"/>
      <c r="N16" s="50">
        <f t="shared" si="0"/>
        <v>0</v>
      </c>
      <c r="O16" s="34"/>
      <c r="P16" s="34">
        <f>'Access-Dez'!M15</f>
        <v>800000</v>
      </c>
      <c r="Q16" s="34"/>
      <c r="R16" s="34">
        <f t="shared" si="1"/>
        <v>800000</v>
      </c>
      <c r="S16" s="39">
        <f>'Access-Dez'!N15</f>
        <v>0</v>
      </c>
      <c r="T16" s="35">
        <f t="shared" si="2"/>
        <v>0</v>
      </c>
      <c r="U16" s="34">
        <f>'Access-Dez'!O15</f>
        <v>0</v>
      </c>
      <c r="V16" s="35">
        <f t="shared" si="3"/>
        <v>0</v>
      </c>
      <c r="W16" s="34">
        <f>'Access-Dez'!P15</f>
        <v>0</v>
      </c>
      <c r="X16" s="35">
        <f t="shared" si="4"/>
        <v>0</v>
      </c>
    </row>
    <row r="17" spans="1:24" ht="25.5" customHeight="1" x14ac:dyDescent="0.2">
      <c r="A17" s="31" t="str">
        <f>+'Access-Dez'!A16</f>
        <v>12104</v>
      </c>
      <c r="B17" s="32" t="str">
        <f>+'Access-Dez'!B16</f>
        <v>TRIBUNAL REGIONAL FEDERAL DA 3A. REGIAO</v>
      </c>
      <c r="C17" s="31" t="str">
        <f>CONCATENATE('Access-Dez'!C16,".",'Access-Dez'!D16)</f>
        <v>02.061</v>
      </c>
      <c r="D17" s="31" t="str">
        <f>CONCATENATE('Access-Dez'!E16,".",'Access-Dez'!G16)</f>
        <v>0569.4257</v>
      </c>
      <c r="E17" s="32" t="str">
        <f>+'Access-Dez'!F16</f>
        <v>PRESTACAO JURISDICIONAL NA JUSTICA FEDERAL</v>
      </c>
      <c r="F17" s="32" t="str">
        <f>+'Access-Dez'!H16</f>
        <v>JULGAMENTO DE CAUSAS NA JUSTICA FEDERAL</v>
      </c>
      <c r="G17" s="31" t="str">
        <f>IF('Access-Dez'!I16="1","F","S")</f>
        <v>F</v>
      </c>
      <c r="H17" s="31" t="str">
        <f>+'Access-Dez'!J16</f>
        <v>0181</v>
      </c>
      <c r="I17" s="32" t="str">
        <f>+'Access-Dez'!K16</f>
        <v>RECURSOS DE CONVENIOS</v>
      </c>
      <c r="J17" s="31" t="str">
        <f>+'Access-Dez'!L16</f>
        <v>4</v>
      </c>
      <c r="K17" s="34"/>
      <c r="L17" s="34"/>
      <c r="M17" s="34"/>
      <c r="N17" s="50">
        <f t="shared" si="0"/>
        <v>0</v>
      </c>
      <c r="O17" s="34"/>
      <c r="P17" s="34">
        <f>'Access-Dez'!M16</f>
        <v>4951378</v>
      </c>
      <c r="Q17" s="34"/>
      <c r="R17" s="34">
        <f t="shared" si="1"/>
        <v>4951378</v>
      </c>
      <c r="S17" s="39">
        <f>'Access-Dez'!N16</f>
        <v>4509378</v>
      </c>
      <c r="T17" s="35">
        <f t="shared" si="2"/>
        <v>0.91073192149740945</v>
      </c>
      <c r="U17" s="34">
        <f>'Access-Dez'!O16</f>
        <v>1671840</v>
      </c>
      <c r="V17" s="35">
        <f t="shared" si="3"/>
        <v>0.33765145783658612</v>
      </c>
      <c r="W17" s="34">
        <f>'Access-Dez'!P16</f>
        <v>1671840</v>
      </c>
      <c r="X17" s="35">
        <f t="shared" si="4"/>
        <v>0.33765145783658612</v>
      </c>
    </row>
    <row r="18" spans="1:24" ht="25.5" customHeight="1" x14ac:dyDescent="0.2">
      <c r="A18" s="31" t="str">
        <f>+'Access-Dez'!A17</f>
        <v>12104</v>
      </c>
      <c r="B18" s="32" t="str">
        <f>+'Access-Dez'!B17</f>
        <v>TRIBUNAL REGIONAL FEDERAL DA 3A. REGIAO</v>
      </c>
      <c r="C18" s="31" t="str">
        <f>CONCATENATE('Access-Dez'!C17,".",'Access-Dez'!D17)</f>
        <v>02.061</v>
      </c>
      <c r="D18" s="31" t="str">
        <f>CONCATENATE('Access-Dez'!E17,".",'Access-Dez'!G17)</f>
        <v>0569.4257</v>
      </c>
      <c r="E18" s="32" t="str">
        <f>+'Access-Dez'!F17</f>
        <v>PRESTACAO JURISDICIONAL NA JUSTICA FEDERAL</v>
      </c>
      <c r="F18" s="32" t="str">
        <f>+'Access-Dez'!H17</f>
        <v>JULGAMENTO DE CAUSAS NA JUSTICA FEDERAL</v>
      </c>
      <c r="G18" s="31" t="str">
        <f>IF('Access-Dez'!I17="1","F","S")</f>
        <v>F</v>
      </c>
      <c r="H18" s="31" t="str">
        <f>+'Access-Dez'!J17</f>
        <v>0181</v>
      </c>
      <c r="I18" s="32" t="str">
        <f>+'Access-Dez'!K17</f>
        <v>RECURSOS DE CONVENIOS</v>
      </c>
      <c r="J18" s="31" t="str">
        <f>+'Access-Dez'!L17</f>
        <v>3</v>
      </c>
      <c r="K18" s="50"/>
      <c r="L18" s="50"/>
      <c r="M18" s="50"/>
      <c r="N18" s="50">
        <f t="shared" si="0"/>
        <v>0</v>
      </c>
      <c r="O18" s="50"/>
      <c r="P18" s="34">
        <f>'Access-Dez'!M17</f>
        <v>175000</v>
      </c>
      <c r="Q18" s="34"/>
      <c r="R18" s="34">
        <f t="shared" si="1"/>
        <v>175000</v>
      </c>
      <c r="S18" s="39">
        <f>'Access-Dez'!N17</f>
        <v>157660</v>
      </c>
      <c r="T18" s="35">
        <f t="shared" si="2"/>
        <v>0.90091428571428567</v>
      </c>
      <c r="U18" s="34">
        <f>'Access-Dez'!O17</f>
        <v>0</v>
      </c>
      <c r="V18" s="35">
        <f t="shared" si="3"/>
        <v>0</v>
      </c>
      <c r="W18" s="34">
        <f>'Access-Dez'!P17</f>
        <v>0</v>
      </c>
      <c r="X18" s="35">
        <f t="shared" si="4"/>
        <v>0</v>
      </c>
    </row>
    <row r="19" spans="1:24" ht="25.5" customHeight="1" x14ac:dyDescent="0.2">
      <c r="A19" s="31" t="str">
        <f>+'Access-Dez'!A18</f>
        <v>12104</v>
      </c>
      <c r="B19" s="32" t="str">
        <f>+'Access-Dez'!B18</f>
        <v>TRIBUNAL REGIONAL FEDERAL DA 3A. REGIAO</v>
      </c>
      <c r="C19" s="31" t="str">
        <f>CONCATENATE('Access-Dez'!C18,".",'Access-Dez'!D18)</f>
        <v>02.122</v>
      </c>
      <c r="D19" s="31" t="str">
        <f>CONCATENATE('Access-Dez'!E18,".",'Access-Dez'!G18)</f>
        <v>0569.12SU</v>
      </c>
      <c r="E19" s="32" t="str">
        <f>+'Access-Dez'!F18</f>
        <v>PRESTACAO JURISDICIONAL NA JUSTICA FEDERAL</v>
      </c>
      <c r="F19" s="32" t="str">
        <f>+'Access-Dez'!H18</f>
        <v>AQUISICAO DE EDIFICIO-ANEXO AO TRF 3. REGIAO EM SAO PAULO -</v>
      </c>
      <c r="G19" s="31" t="str">
        <f>IF('Access-Dez'!I18="1","F","S")</f>
        <v>F</v>
      </c>
      <c r="H19" s="31" t="str">
        <f>+'Access-Dez'!J18</f>
        <v>0100</v>
      </c>
      <c r="I19" s="32" t="str">
        <f>+'Access-Dez'!K18</f>
        <v>RECURSOS ORDINARIOS</v>
      </c>
      <c r="J19" s="31" t="str">
        <f>+'Access-Dez'!L18</f>
        <v>5</v>
      </c>
      <c r="K19" s="50"/>
      <c r="L19" s="50"/>
      <c r="M19" s="50"/>
      <c r="N19" s="50">
        <f t="shared" si="0"/>
        <v>0</v>
      </c>
      <c r="O19" s="50"/>
      <c r="P19" s="34">
        <f>'Access-Dez'!M18</f>
        <v>0</v>
      </c>
      <c r="Q19" s="34"/>
      <c r="R19" s="34">
        <f t="shared" si="1"/>
        <v>0</v>
      </c>
      <c r="S19" s="39">
        <f>'Access-Dez'!N18</f>
        <v>0</v>
      </c>
      <c r="T19" s="35">
        <f t="shared" si="2"/>
        <v>0</v>
      </c>
      <c r="U19" s="34">
        <f>'Access-Dez'!O18</f>
        <v>0</v>
      </c>
      <c r="V19" s="35">
        <f t="shared" si="3"/>
        <v>0</v>
      </c>
      <c r="W19" s="34">
        <f>'Access-Dez'!P18</f>
        <v>0</v>
      </c>
      <c r="X19" s="35">
        <f t="shared" si="4"/>
        <v>0</v>
      </c>
    </row>
    <row r="20" spans="1:24" ht="25.5" customHeight="1" x14ac:dyDescent="0.2">
      <c r="A20" s="31" t="str">
        <f>+'Access-Dez'!A19</f>
        <v>12104</v>
      </c>
      <c r="B20" s="32" t="str">
        <f>+'Access-Dez'!B19</f>
        <v>TRIBUNAL REGIONAL FEDERAL DA 3A. REGIAO</v>
      </c>
      <c r="C20" s="31" t="str">
        <f>CONCATENATE('Access-Dez'!C19,".",'Access-Dez'!D19)</f>
        <v>02.122</v>
      </c>
      <c r="D20" s="31" t="str">
        <f>CONCATENATE('Access-Dez'!E19,".",'Access-Dez'!G19)</f>
        <v>0569.12SU</v>
      </c>
      <c r="E20" s="32" t="str">
        <f>+'Access-Dez'!F19</f>
        <v>PRESTACAO JURISDICIONAL NA JUSTICA FEDERAL</v>
      </c>
      <c r="F20" s="32" t="str">
        <f>+'Access-Dez'!H19</f>
        <v>AQUISICAO DE EDIFICIO-ANEXO AO TRF 3. REGIAO EM SAO PAULO -</v>
      </c>
      <c r="G20" s="31" t="str">
        <f>IF('Access-Dez'!I19="1","F","S")</f>
        <v>F</v>
      </c>
      <c r="H20" s="31" t="str">
        <f>+'Access-Dez'!J19</f>
        <v>0188</v>
      </c>
      <c r="I20" s="32" t="str">
        <f>+'Access-Dez'!K19</f>
        <v>REMUNERACAO DAS DISPONIB. DO TESOURO NACIONAL</v>
      </c>
      <c r="J20" s="31" t="str">
        <f>+'Access-Dez'!L19</f>
        <v>5</v>
      </c>
      <c r="K20" s="50"/>
      <c r="L20" s="50"/>
      <c r="M20" s="50"/>
      <c r="N20" s="50">
        <f t="shared" si="0"/>
        <v>0</v>
      </c>
      <c r="O20" s="50"/>
      <c r="P20" s="34">
        <f>'Access-Dez'!M19</f>
        <v>0</v>
      </c>
      <c r="Q20" s="34"/>
      <c r="R20" s="34">
        <f t="shared" si="1"/>
        <v>0</v>
      </c>
      <c r="S20" s="39">
        <f>'Access-Dez'!N19</f>
        <v>0</v>
      </c>
      <c r="T20" s="35">
        <f t="shared" si="2"/>
        <v>0</v>
      </c>
      <c r="U20" s="34">
        <f>'Access-Dez'!O19</f>
        <v>0</v>
      </c>
      <c r="V20" s="35">
        <f t="shared" si="3"/>
        <v>0</v>
      </c>
      <c r="W20" s="34">
        <f>'Access-Dez'!P19</f>
        <v>0</v>
      </c>
      <c r="X20" s="35">
        <f t="shared" si="4"/>
        <v>0</v>
      </c>
    </row>
    <row r="21" spans="1:24" ht="25.5" customHeight="1" x14ac:dyDescent="0.2">
      <c r="A21" s="31" t="str">
        <f>+'Access-Dez'!A20</f>
        <v>12104</v>
      </c>
      <c r="B21" s="32" t="str">
        <f>+'Access-Dez'!B20</f>
        <v>TRIBUNAL REGIONAL FEDERAL DA 3A. REGIAO</v>
      </c>
      <c r="C21" s="31" t="str">
        <f>CONCATENATE('Access-Dez'!C20,".",'Access-Dez'!D20)</f>
        <v>02.122</v>
      </c>
      <c r="D21" s="31" t="str">
        <f>CONCATENATE('Access-Dez'!E20,".",'Access-Dez'!G20)</f>
        <v>0569.15HG</v>
      </c>
      <c r="E21" s="32" t="str">
        <f>+'Access-Dez'!F20</f>
        <v>PRESTACAO JURISDICIONAL NA JUSTICA FEDERAL</v>
      </c>
      <c r="F21" s="32" t="str">
        <f>+'Access-Dez'!H20</f>
        <v>AQUISICAO DE IMOVEIS PARA FUNCIONAMENTO DO TRF3 DA 3. REGIAO</v>
      </c>
      <c r="G21" s="31" t="str">
        <f>IF('Access-Dez'!I20="1","F","S")</f>
        <v>F</v>
      </c>
      <c r="H21" s="31" t="str">
        <f>+'Access-Dez'!J20</f>
        <v>0100</v>
      </c>
      <c r="I21" s="32" t="str">
        <f>+'Access-Dez'!K20</f>
        <v>RECURSOS ORDINARIOS</v>
      </c>
      <c r="J21" s="31" t="str">
        <f>+'Access-Dez'!L20</f>
        <v>5</v>
      </c>
      <c r="K21" s="50"/>
      <c r="L21" s="50"/>
      <c r="M21" s="50"/>
      <c r="N21" s="50">
        <f t="shared" si="0"/>
        <v>0</v>
      </c>
      <c r="O21" s="50"/>
      <c r="P21" s="34">
        <f>'Access-Dez'!M20</f>
        <v>0</v>
      </c>
      <c r="Q21" s="34"/>
      <c r="R21" s="34">
        <f t="shared" si="1"/>
        <v>0</v>
      </c>
      <c r="S21" s="39">
        <f>'Access-Dez'!N20</f>
        <v>0</v>
      </c>
      <c r="T21" s="35">
        <f t="shared" si="2"/>
        <v>0</v>
      </c>
      <c r="U21" s="34">
        <f>'Access-Dez'!O20</f>
        <v>0</v>
      </c>
      <c r="V21" s="35">
        <f t="shared" si="3"/>
        <v>0</v>
      </c>
      <c r="W21" s="34">
        <f>'Access-Dez'!P20</f>
        <v>0</v>
      </c>
      <c r="X21" s="35">
        <f t="shared" si="4"/>
        <v>0</v>
      </c>
    </row>
    <row r="22" spans="1:24" ht="25.5" customHeight="1" x14ac:dyDescent="0.2">
      <c r="A22" s="31" t="str">
        <f>+'Access-Dez'!A21</f>
        <v>12104</v>
      </c>
      <c r="B22" s="32" t="str">
        <f>+'Access-Dez'!B21</f>
        <v>TRIBUNAL REGIONAL FEDERAL DA 3A. REGIAO</v>
      </c>
      <c r="C22" s="31" t="str">
        <f>CONCATENATE('Access-Dez'!C21,".",'Access-Dez'!D21)</f>
        <v>02.122</v>
      </c>
      <c r="D22" s="31" t="str">
        <f>CONCATENATE('Access-Dez'!E21,".",'Access-Dez'!G21)</f>
        <v>0569.15HG</v>
      </c>
      <c r="E22" s="32" t="str">
        <f>+'Access-Dez'!F21</f>
        <v>PRESTACAO JURISDICIONAL NA JUSTICA FEDERAL</v>
      </c>
      <c r="F22" s="32" t="str">
        <f>+'Access-Dez'!H21</f>
        <v>AQUISICAO DE IMOVEIS PARA FUNCIONAMENTO DO TRF3 DA 3. REGIAO</v>
      </c>
      <c r="G22" s="31" t="str">
        <f>IF('Access-Dez'!I21="1","F","S")</f>
        <v>F</v>
      </c>
      <c r="H22" s="31" t="str">
        <f>+'Access-Dez'!J21</f>
        <v>0181</v>
      </c>
      <c r="I22" s="32" t="str">
        <f>+'Access-Dez'!K21</f>
        <v>RECURSOS DE CONVENIOS</v>
      </c>
      <c r="J22" s="31" t="str">
        <f>+'Access-Dez'!L21</f>
        <v>5</v>
      </c>
      <c r="K22" s="50"/>
      <c r="L22" s="50"/>
      <c r="M22" s="50"/>
      <c r="N22" s="50">
        <f t="shared" si="0"/>
        <v>0</v>
      </c>
      <c r="O22" s="50"/>
      <c r="P22" s="34">
        <f>'Access-Dez'!M21</f>
        <v>8000000</v>
      </c>
      <c r="Q22" s="34"/>
      <c r="R22" s="34">
        <f t="shared" si="1"/>
        <v>8000000</v>
      </c>
      <c r="S22" s="39">
        <f>'Access-Dez'!N21</f>
        <v>0</v>
      </c>
      <c r="T22" s="35">
        <f t="shared" si="2"/>
        <v>0</v>
      </c>
      <c r="U22" s="34">
        <f>'Access-Dez'!O21</f>
        <v>0</v>
      </c>
      <c r="V22" s="35">
        <f t="shared" si="3"/>
        <v>0</v>
      </c>
      <c r="W22" s="34">
        <f>'Access-Dez'!P21</f>
        <v>0</v>
      </c>
      <c r="X22" s="35">
        <f t="shared" si="4"/>
        <v>0</v>
      </c>
    </row>
    <row r="23" spans="1:24" ht="25.5" customHeight="1" x14ac:dyDescent="0.2">
      <c r="A23" s="31" t="str">
        <f>+'Access-Dez'!A22</f>
        <v>12104</v>
      </c>
      <c r="B23" s="32" t="str">
        <f>+'Access-Dez'!B22</f>
        <v>TRIBUNAL REGIONAL FEDERAL DA 3A. REGIAO</v>
      </c>
      <c r="C23" s="31" t="str">
        <f>CONCATENATE('Access-Dez'!C22,".",'Access-Dez'!D22)</f>
        <v>02.122</v>
      </c>
      <c r="D23" s="31" t="str">
        <f>CONCATENATE('Access-Dez'!E22,".",'Access-Dez'!G22)</f>
        <v>0569.15NZ</v>
      </c>
      <c r="E23" s="32" t="str">
        <f>+'Access-Dez'!F22</f>
        <v>PRESTACAO JURISDICIONAL NA JUSTICA FEDERAL</v>
      </c>
      <c r="F23" s="32" t="str">
        <f>+'Access-Dez'!H22</f>
        <v>REFORMA DO EDIFICIO-SEDE DO TRIBUNAL REGIONAL FEDERAL DA 3.</v>
      </c>
      <c r="G23" s="31" t="str">
        <f>IF('Access-Dez'!I22="1","F","S")</f>
        <v>F</v>
      </c>
      <c r="H23" s="31" t="str">
        <f>+'Access-Dez'!J22</f>
        <v>0100</v>
      </c>
      <c r="I23" s="32" t="str">
        <f>+'Access-Dez'!K22</f>
        <v>RECURSOS ORDINARIOS</v>
      </c>
      <c r="J23" s="31" t="str">
        <f>+'Access-Dez'!L22</f>
        <v>4</v>
      </c>
      <c r="K23" s="50"/>
      <c r="L23" s="50"/>
      <c r="M23" s="50"/>
      <c r="N23" s="50">
        <f t="shared" si="0"/>
        <v>0</v>
      </c>
      <c r="O23" s="50"/>
      <c r="P23" s="34">
        <f>'Access-Dez'!M22</f>
        <v>0</v>
      </c>
      <c r="Q23" s="34"/>
      <c r="R23" s="34">
        <f t="shared" si="1"/>
        <v>0</v>
      </c>
      <c r="S23" s="39">
        <f>'Access-Dez'!N22</f>
        <v>0</v>
      </c>
      <c r="T23" s="35">
        <f t="shared" si="2"/>
        <v>0</v>
      </c>
      <c r="U23" s="34">
        <f>'Access-Dez'!O22</f>
        <v>0</v>
      </c>
      <c r="V23" s="35">
        <f t="shared" si="3"/>
        <v>0</v>
      </c>
      <c r="W23" s="34">
        <f>'Access-Dez'!P22</f>
        <v>0</v>
      </c>
      <c r="X23" s="35">
        <f t="shared" si="4"/>
        <v>0</v>
      </c>
    </row>
    <row r="24" spans="1:24" ht="25.5" customHeight="1" x14ac:dyDescent="0.2">
      <c r="A24" s="31" t="str">
        <f>+'Access-Dez'!A23</f>
        <v>12104</v>
      </c>
      <c r="B24" s="32" t="str">
        <f>+'Access-Dez'!B23</f>
        <v>TRIBUNAL REGIONAL FEDERAL DA 3A. REGIAO</v>
      </c>
      <c r="C24" s="31" t="str">
        <f>CONCATENATE('Access-Dez'!C23,".",'Access-Dez'!D23)</f>
        <v>02.122</v>
      </c>
      <c r="D24" s="31" t="str">
        <f>CONCATENATE('Access-Dez'!E23,".",'Access-Dez'!G23)</f>
        <v>0569.20TP</v>
      </c>
      <c r="E24" s="32" t="str">
        <f>+'Access-Dez'!F23</f>
        <v>PRESTACAO JURISDICIONAL NA JUSTICA FEDERAL</v>
      </c>
      <c r="F24" s="32" t="str">
        <f>+'Access-Dez'!H23</f>
        <v>ATIVOS CIVIS DA UNIAO</v>
      </c>
      <c r="G24" s="31" t="str">
        <f>IF('Access-Dez'!I23="1","F","S")</f>
        <v>F</v>
      </c>
      <c r="H24" s="31" t="str">
        <f>+'Access-Dez'!J23</f>
        <v>0100</v>
      </c>
      <c r="I24" s="32" t="str">
        <f>+'Access-Dez'!K23</f>
        <v>RECURSOS ORDINARIOS</v>
      </c>
      <c r="J24" s="31" t="str">
        <f>+'Access-Dez'!L23</f>
        <v>1</v>
      </c>
      <c r="K24" s="50"/>
      <c r="L24" s="50"/>
      <c r="M24" s="50"/>
      <c r="N24" s="50">
        <f t="shared" si="0"/>
        <v>0</v>
      </c>
      <c r="O24" s="50"/>
      <c r="P24" s="34">
        <f>'Access-Dez'!M23</f>
        <v>386422129</v>
      </c>
      <c r="Q24" s="34"/>
      <c r="R24" s="34">
        <f t="shared" si="1"/>
        <v>386422129</v>
      </c>
      <c r="S24" s="39">
        <f>'Access-Dez'!N23</f>
        <v>386418518.87</v>
      </c>
      <c r="T24" s="35">
        <f t="shared" si="2"/>
        <v>0.9999906575484967</v>
      </c>
      <c r="U24" s="34">
        <f>'Access-Dez'!O23</f>
        <v>379616262.51999998</v>
      </c>
      <c r="V24" s="35">
        <f t="shared" si="3"/>
        <v>0.98238748257608188</v>
      </c>
      <c r="W24" s="34">
        <f>'Access-Dez'!P23</f>
        <v>377914158.35000002</v>
      </c>
      <c r="X24" s="35">
        <f t="shared" si="4"/>
        <v>0.97798270334047055</v>
      </c>
    </row>
    <row r="25" spans="1:24" ht="25.5" customHeight="1" x14ac:dyDescent="0.2">
      <c r="A25" s="31" t="str">
        <f>+'Access-Dez'!A24</f>
        <v>12104</v>
      </c>
      <c r="B25" s="32" t="str">
        <f>+'Access-Dez'!B24</f>
        <v>TRIBUNAL REGIONAL FEDERAL DA 3A. REGIAO</v>
      </c>
      <c r="C25" s="31" t="str">
        <f>CONCATENATE('Access-Dez'!C24,".",'Access-Dez'!D24)</f>
        <v>02.122</v>
      </c>
      <c r="D25" s="31" t="str">
        <f>CONCATENATE('Access-Dez'!E24,".",'Access-Dez'!G24)</f>
        <v>0569.216H</v>
      </c>
      <c r="E25" s="32" t="str">
        <f>+'Access-Dez'!F24</f>
        <v>PRESTACAO JURISDICIONAL NA JUSTICA FEDERAL</v>
      </c>
      <c r="F25" s="32" t="str">
        <f>+'Access-Dez'!H24</f>
        <v>AJUDA DE CUSTO PARA MORADIA OU AUXILIO-MORADIA A AGENTES PUB</v>
      </c>
      <c r="G25" s="31" t="str">
        <f>IF('Access-Dez'!I24="1","F","S")</f>
        <v>F</v>
      </c>
      <c r="H25" s="31" t="str">
        <f>+'Access-Dez'!J24</f>
        <v>0100</v>
      </c>
      <c r="I25" s="32" t="str">
        <f>+'Access-Dez'!K24</f>
        <v>RECURSOS ORDINARIOS</v>
      </c>
      <c r="J25" s="31" t="str">
        <f>+'Access-Dez'!L24</f>
        <v>3</v>
      </c>
      <c r="K25" s="50"/>
      <c r="L25" s="50"/>
      <c r="M25" s="50"/>
      <c r="N25" s="50">
        <f t="shared" si="0"/>
        <v>0</v>
      </c>
      <c r="O25" s="50"/>
      <c r="P25" s="34">
        <f>'Access-Dez'!M24</f>
        <v>2483742</v>
      </c>
      <c r="Q25" s="34"/>
      <c r="R25" s="34">
        <f t="shared" si="1"/>
        <v>2483742</v>
      </c>
      <c r="S25" s="39">
        <f>'Access-Dez'!N24</f>
        <v>2285383.85</v>
      </c>
      <c r="T25" s="35">
        <f t="shared" si="2"/>
        <v>0.92013737739265999</v>
      </c>
      <c r="U25" s="34">
        <f>'Access-Dez'!O24</f>
        <v>2285383.85</v>
      </c>
      <c r="V25" s="35">
        <f t="shared" si="3"/>
        <v>0.92013737739265999</v>
      </c>
      <c r="W25" s="34">
        <f>'Access-Dez'!P24</f>
        <v>2285383.85</v>
      </c>
      <c r="X25" s="35">
        <f t="shared" si="4"/>
        <v>0.92013737739265999</v>
      </c>
    </row>
    <row r="26" spans="1:24" ht="25.5" customHeight="1" x14ac:dyDescent="0.2">
      <c r="A26" s="31" t="str">
        <f>+'Access-Dez'!A25</f>
        <v>12104</v>
      </c>
      <c r="B26" s="32" t="str">
        <f>+'Access-Dez'!B25</f>
        <v>TRIBUNAL REGIONAL FEDERAL DA 3A. REGIAO</v>
      </c>
      <c r="C26" s="31" t="str">
        <f>CONCATENATE('Access-Dez'!C25,".",'Access-Dez'!D25)</f>
        <v>02.126</v>
      </c>
      <c r="D26" s="31" t="str">
        <f>CONCATENATE('Access-Dez'!E25,".",'Access-Dez'!G25)</f>
        <v>0569.151W</v>
      </c>
      <c r="E26" s="32" t="str">
        <f>+'Access-Dez'!F25</f>
        <v>PRESTACAO JURISDICIONAL NA JUSTICA FEDERAL</v>
      </c>
      <c r="F26" s="32" t="str">
        <f>+'Access-Dez'!H25</f>
        <v>DESENVOLVIMENTO E IMPLANTACAO DO SISTEMA PROCESSO JUDICIAL E</v>
      </c>
      <c r="G26" s="31" t="str">
        <f>IF('Access-Dez'!I25="1","F","S")</f>
        <v>F</v>
      </c>
      <c r="H26" s="31" t="str">
        <f>+'Access-Dez'!J25</f>
        <v>0100</v>
      </c>
      <c r="I26" s="32" t="str">
        <f>+'Access-Dez'!K25</f>
        <v>RECURSOS ORDINARIOS</v>
      </c>
      <c r="J26" s="31" t="str">
        <f>+'Access-Dez'!L25</f>
        <v>3</v>
      </c>
      <c r="K26" s="50"/>
      <c r="L26" s="50"/>
      <c r="M26" s="50"/>
      <c r="N26" s="50">
        <f t="shared" si="0"/>
        <v>0</v>
      </c>
      <c r="O26" s="50"/>
      <c r="P26" s="34">
        <f>'Access-Dez'!M25</f>
        <v>1531018</v>
      </c>
      <c r="Q26" s="34"/>
      <c r="R26" s="34">
        <f t="shared" si="1"/>
        <v>1531018</v>
      </c>
      <c r="S26" s="39">
        <f>'Access-Dez'!N25</f>
        <v>1302268.28</v>
      </c>
      <c r="T26" s="35">
        <f t="shared" si="2"/>
        <v>0.85058979058378148</v>
      </c>
      <c r="U26" s="34">
        <f>'Access-Dez'!O25</f>
        <v>1242417.28</v>
      </c>
      <c r="V26" s="35">
        <f t="shared" si="3"/>
        <v>0.81149750035597235</v>
      </c>
      <c r="W26" s="34">
        <f>'Access-Dez'!P25</f>
        <v>1242417.28</v>
      </c>
      <c r="X26" s="35">
        <f t="shared" si="4"/>
        <v>0.81149750035597235</v>
      </c>
    </row>
    <row r="27" spans="1:24" ht="25.5" customHeight="1" x14ac:dyDescent="0.2">
      <c r="A27" s="31" t="str">
        <f>+'Access-Dez'!A26</f>
        <v>12104</v>
      </c>
      <c r="B27" s="32" t="str">
        <f>+'Access-Dez'!B26</f>
        <v>TRIBUNAL REGIONAL FEDERAL DA 3A. REGIAO</v>
      </c>
      <c r="C27" s="31" t="str">
        <f>CONCATENATE('Access-Dez'!C26,".",'Access-Dez'!D26)</f>
        <v>02.131</v>
      </c>
      <c r="D27" s="31" t="str">
        <f>CONCATENATE('Access-Dez'!E26,".",'Access-Dez'!G26)</f>
        <v>0569.2549</v>
      </c>
      <c r="E27" s="32" t="str">
        <f>+'Access-Dez'!F26</f>
        <v>PRESTACAO JURISDICIONAL NA JUSTICA FEDERAL</v>
      </c>
      <c r="F27" s="32" t="str">
        <f>+'Access-Dez'!H26</f>
        <v>COMUNICACAO E DIVULGACAO INSTITUCIONAL</v>
      </c>
      <c r="G27" s="31" t="str">
        <f>IF('Access-Dez'!I26="1","F","S")</f>
        <v>F</v>
      </c>
      <c r="H27" s="31" t="str">
        <f>+'Access-Dez'!J26</f>
        <v>0100</v>
      </c>
      <c r="I27" s="32" t="str">
        <f>+'Access-Dez'!K26</f>
        <v>RECURSOS ORDINARIOS</v>
      </c>
      <c r="J27" s="31" t="str">
        <f>+'Access-Dez'!L26</f>
        <v>3</v>
      </c>
      <c r="K27" s="50"/>
      <c r="L27" s="50"/>
      <c r="M27" s="50"/>
      <c r="N27" s="50">
        <f t="shared" si="0"/>
        <v>0</v>
      </c>
      <c r="O27" s="50"/>
      <c r="P27" s="34">
        <f>'Access-Dez'!M26</f>
        <v>517525</v>
      </c>
      <c r="Q27" s="34"/>
      <c r="R27" s="34">
        <f t="shared" si="1"/>
        <v>517525</v>
      </c>
      <c r="S27" s="39">
        <f>'Access-Dez'!N26</f>
        <v>505239.92</v>
      </c>
      <c r="T27" s="35">
        <f t="shared" si="2"/>
        <v>0.97626186174580931</v>
      </c>
      <c r="U27" s="34">
        <f>'Access-Dez'!O26</f>
        <v>491319.01</v>
      </c>
      <c r="V27" s="35">
        <f t="shared" si="3"/>
        <v>0.94936285203613358</v>
      </c>
      <c r="W27" s="34">
        <f>'Access-Dez'!P26</f>
        <v>491319.01</v>
      </c>
      <c r="X27" s="35">
        <f t="shared" si="4"/>
        <v>0.94936285203613358</v>
      </c>
    </row>
    <row r="28" spans="1:24" ht="25.5" customHeight="1" x14ac:dyDescent="0.2">
      <c r="A28" s="31" t="str">
        <f>+'Access-Dez'!A27</f>
        <v>12104</v>
      </c>
      <c r="B28" s="32" t="str">
        <f>+'Access-Dez'!B27</f>
        <v>TRIBUNAL REGIONAL FEDERAL DA 3A. REGIAO</v>
      </c>
      <c r="C28" s="31" t="str">
        <f>CONCATENATE('Access-Dez'!C27,".",'Access-Dez'!D27)</f>
        <v>02.301</v>
      </c>
      <c r="D28" s="31" t="str">
        <f>CONCATENATE('Access-Dez'!E27,".",'Access-Dez'!G27)</f>
        <v>0569.2004</v>
      </c>
      <c r="E28" s="32" t="str">
        <f>+'Access-Dez'!F27</f>
        <v>PRESTACAO JURISDICIONAL NA JUSTICA FEDERAL</v>
      </c>
      <c r="F28" s="32" t="str">
        <f>+'Access-Dez'!H27</f>
        <v>ASSISTENCIA MEDICA E ODONTOLOGICA AOS SERVIDORES CIVIS, EMPR</v>
      </c>
      <c r="G28" s="31" t="str">
        <f>IF('Access-Dez'!I27="1","F","S")</f>
        <v>S</v>
      </c>
      <c r="H28" s="31" t="str">
        <f>+'Access-Dez'!J27</f>
        <v>0100</v>
      </c>
      <c r="I28" s="32" t="str">
        <f>+'Access-Dez'!K27</f>
        <v>RECURSOS ORDINARIOS</v>
      </c>
      <c r="J28" s="31" t="str">
        <f>+'Access-Dez'!L27</f>
        <v>4</v>
      </c>
      <c r="K28" s="50"/>
      <c r="L28" s="50"/>
      <c r="M28" s="50"/>
      <c r="N28" s="50">
        <f t="shared" si="0"/>
        <v>0</v>
      </c>
      <c r="O28" s="50"/>
      <c r="P28" s="34">
        <f>'Access-Dez'!M27</f>
        <v>15000</v>
      </c>
      <c r="Q28" s="34"/>
      <c r="R28" s="34">
        <f t="shared" si="1"/>
        <v>15000</v>
      </c>
      <c r="S28" s="34">
        <f>'Access-Dez'!N27</f>
        <v>10589</v>
      </c>
      <c r="T28" s="35">
        <f t="shared" si="2"/>
        <v>0.7059333333333333</v>
      </c>
      <c r="U28" s="34">
        <f>'Access-Dez'!O27</f>
        <v>0</v>
      </c>
      <c r="V28" s="35">
        <f t="shared" si="3"/>
        <v>0</v>
      </c>
      <c r="W28" s="34">
        <f>'Access-Dez'!P27</f>
        <v>0</v>
      </c>
      <c r="X28" s="35">
        <f t="shared" si="4"/>
        <v>0</v>
      </c>
    </row>
    <row r="29" spans="1:24" ht="25.5" customHeight="1" x14ac:dyDescent="0.2">
      <c r="A29" s="31" t="str">
        <f>+'Access-Dez'!A28</f>
        <v>12104</v>
      </c>
      <c r="B29" s="32" t="str">
        <f>+'Access-Dez'!B28</f>
        <v>TRIBUNAL REGIONAL FEDERAL DA 3A. REGIAO</v>
      </c>
      <c r="C29" s="31" t="str">
        <f>CONCATENATE('Access-Dez'!C28,".",'Access-Dez'!D28)</f>
        <v>02.301</v>
      </c>
      <c r="D29" s="31" t="str">
        <f>CONCATENATE('Access-Dez'!E28,".",'Access-Dez'!G28)</f>
        <v>0569.2004</v>
      </c>
      <c r="E29" s="32" t="str">
        <f>+'Access-Dez'!F28</f>
        <v>PRESTACAO JURISDICIONAL NA JUSTICA FEDERAL</v>
      </c>
      <c r="F29" s="32" t="str">
        <f>+'Access-Dez'!H28</f>
        <v>ASSISTENCIA MEDICA E ODONTOLOGICA AOS SERVIDORES CIVIS, EMPR</v>
      </c>
      <c r="G29" s="31" t="str">
        <f>IF('Access-Dez'!I28="1","F","S")</f>
        <v>S</v>
      </c>
      <c r="H29" s="31" t="str">
        <f>+'Access-Dez'!J28</f>
        <v>0100</v>
      </c>
      <c r="I29" s="32" t="str">
        <f>+'Access-Dez'!K28</f>
        <v>RECURSOS ORDINARIOS</v>
      </c>
      <c r="J29" s="31" t="str">
        <f>+'Access-Dez'!L28</f>
        <v>3</v>
      </c>
      <c r="K29" s="50"/>
      <c r="L29" s="50"/>
      <c r="M29" s="50"/>
      <c r="N29" s="50">
        <f t="shared" si="0"/>
        <v>0</v>
      </c>
      <c r="O29" s="50"/>
      <c r="P29" s="34">
        <f>'Access-Dez'!M28</f>
        <v>12317400</v>
      </c>
      <c r="Q29" s="34"/>
      <c r="R29" s="34">
        <f t="shared" si="1"/>
        <v>12317400</v>
      </c>
      <c r="S29" s="34">
        <f>'Access-Dez'!N28</f>
        <v>12317400</v>
      </c>
      <c r="T29" s="35">
        <f t="shared" si="2"/>
        <v>1</v>
      </c>
      <c r="U29" s="34">
        <f>'Access-Dez'!O28</f>
        <v>11359975.92</v>
      </c>
      <c r="V29" s="35">
        <f t="shared" si="3"/>
        <v>0.92227060256222904</v>
      </c>
      <c r="W29" s="34">
        <f>'Access-Dez'!P28</f>
        <v>11359975.92</v>
      </c>
      <c r="X29" s="35">
        <f t="shared" si="4"/>
        <v>0.92227060256222904</v>
      </c>
    </row>
    <row r="30" spans="1:24" ht="25.5" customHeight="1" x14ac:dyDescent="0.2">
      <c r="A30" s="31" t="str">
        <f>+'Access-Dez'!A29</f>
        <v>12104</v>
      </c>
      <c r="B30" s="32" t="str">
        <f>+'Access-Dez'!B29</f>
        <v>TRIBUNAL REGIONAL FEDERAL DA 3A. REGIAO</v>
      </c>
      <c r="C30" s="31" t="str">
        <f>CONCATENATE('Access-Dez'!C29,".",'Access-Dez'!D29)</f>
        <v>02.331</v>
      </c>
      <c r="D30" s="31" t="str">
        <f>CONCATENATE('Access-Dez'!E29,".",'Access-Dez'!G29)</f>
        <v>0569.00M1</v>
      </c>
      <c r="E30" s="32" t="str">
        <f>+'Access-Dez'!F29</f>
        <v>PRESTACAO JURISDICIONAL NA JUSTICA FEDERAL</v>
      </c>
      <c r="F30" s="32" t="str">
        <f>+'Access-Dez'!H29</f>
        <v>BENEFICIOS ASSISTENCIAIS DECORRENTES DO AUXILIO-FUNERAL E NA</v>
      </c>
      <c r="G30" s="31" t="str">
        <f>IF('Access-Dez'!I29="1","F","S")</f>
        <v>F</v>
      </c>
      <c r="H30" s="31" t="str">
        <f>+'Access-Dez'!J29</f>
        <v>0100</v>
      </c>
      <c r="I30" s="32" t="str">
        <f>+'Access-Dez'!K29</f>
        <v>RECURSOS ORDINARIOS</v>
      </c>
      <c r="J30" s="31" t="str">
        <f>+'Access-Dez'!L29</f>
        <v>3</v>
      </c>
      <c r="K30" s="50"/>
      <c r="L30" s="50"/>
      <c r="M30" s="50"/>
      <c r="N30" s="50">
        <f t="shared" si="0"/>
        <v>0</v>
      </c>
      <c r="O30" s="50"/>
      <c r="P30" s="34">
        <f>'Access-Dez'!M29</f>
        <v>130606.18</v>
      </c>
      <c r="Q30" s="34"/>
      <c r="R30" s="34">
        <f t="shared" si="1"/>
        <v>130606.18</v>
      </c>
      <c r="S30" s="34">
        <f>'Access-Dez'!N29</f>
        <v>130606.18</v>
      </c>
      <c r="T30" s="35">
        <f t="shared" si="2"/>
        <v>1</v>
      </c>
      <c r="U30" s="34">
        <f>'Access-Dez'!O29</f>
        <v>130606.18</v>
      </c>
      <c r="V30" s="35">
        <f t="shared" si="3"/>
        <v>1</v>
      </c>
      <c r="W30" s="34">
        <f>'Access-Dez'!P29</f>
        <v>130606.18</v>
      </c>
      <c r="X30" s="35">
        <f t="shared" si="4"/>
        <v>1</v>
      </c>
    </row>
    <row r="31" spans="1:24" ht="25.5" customHeight="1" x14ac:dyDescent="0.2">
      <c r="A31" s="31" t="str">
        <f>+'Access-Dez'!A30</f>
        <v>12104</v>
      </c>
      <c r="B31" s="32" t="str">
        <f>+'Access-Dez'!B30</f>
        <v>TRIBUNAL REGIONAL FEDERAL DA 3A. REGIAO</v>
      </c>
      <c r="C31" s="31" t="str">
        <f>CONCATENATE('Access-Dez'!C30,".",'Access-Dez'!D30)</f>
        <v>02.331</v>
      </c>
      <c r="D31" s="31" t="str">
        <f>CONCATENATE('Access-Dez'!E30,".",'Access-Dez'!G30)</f>
        <v>0569.2010</v>
      </c>
      <c r="E31" s="32" t="str">
        <f>+'Access-Dez'!F30</f>
        <v>PRESTACAO JURISDICIONAL NA JUSTICA FEDERAL</v>
      </c>
      <c r="F31" s="32" t="str">
        <f>+'Access-Dez'!H30</f>
        <v>ASSISTENCIA PRE-ESCOLAR AOS DEPENDENTES DOS SERVIDORES CIVIS</v>
      </c>
      <c r="G31" s="31" t="str">
        <f>IF('Access-Dez'!I30="1","F","S")</f>
        <v>F</v>
      </c>
      <c r="H31" s="31" t="str">
        <f>+'Access-Dez'!J30</f>
        <v>0100</v>
      </c>
      <c r="I31" s="32" t="str">
        <f>+'Access-Dez'!K30</f>
        <v>RECURSOS ORDINARIOS</v>
      </c>
      <c r="J31" s="31" t="str">
        <f>+'Access-Dez'!L30</f>
        <v>3</v>
      </c>
      <c r="K31" s="50"/>
      <c r="L31" s="50"/>
      <c r="M31" s="50"/>
      <c r="N31" s="50">
        <f t="shared" si="0"/>
        <v>0</v>
      </c>
      <c r="O31" s="50"/>
      <c r="P31" s="34">
        <f>'Access-Dez'!M30</f>
        <v>2170448</v>
      </c>
      <c r="Q31" s="34"/>
      <c r="R31" s="34">
        <f t="shared" si="1"/>
        <v>2170448</v>
      </c>
      <c r="S31" s="34">
        <f>'Access-Dez'!N30</f>
        <v>2155017</v>
      </c>
      <c r="T31" s="35">
        <f t="shared" si="2"/>
        <v>0.99289040787892635</v>
      </c>
      <c r="U31" s="34">
        <f>'Access-Dez'!O30</f>
        <v>2155017</v>
      </c>
      <c r="V31" s="35">
        <f t="shared" si="3"/>
        <v>0.99289040787892635</v>
      </c>
      <c r="W31" s="34">
        <f>'Access-Dez'!P30</f>
        <v>2155017</v>
      </c>
      <c r="X31" s="35">
        <f t="shared" si="4"/>
        <v>0.99289040787892635</v>
      </c>
    </row>
    <row r="32" spans="1:24" ht="25.5" customHeight="1" x14ac:dyDescent="0.2">
      <c r="A32" s="31" t="str">
        <f>+'Access-Dez'!A31</f>
        <v>12104</v>
      </c>
      <c r="B32" s="32" t="str">
        <f>+'Access-Dez'!B31</f>
        <v>TRIBUNAL REGIONAL FEDERAL DA 3A. REGIAO</v>
      </c>
      <c r="C32" s="31" t="str">
        <f>CONCATENATE('Access-Dez'!C31,".",'Access-Dez'!D31)</f>
        <v>02.331</v>
      </c>
      <c r="D32" s="31" t="str">
        <f>CONCATENATE('Access-Dez'!E31,".",'Access-Dez'!G31)</f>
        <v>0569.2011</v>
      </c>
      <c r="E32" s="32" t="str">
        <f>+'Access-Dez'!F31</f>
        <v>PRESTACAO JURISDICIONAL NA JUSTICA FEDERAL</v>
      </c>
      <c r="F32" s="32" t="str">
        <f>+'Access-Dez'!H31</f>
        <v>AUXILIO-TRANSPORTE AOS SERVIDORES CIVIS, EMPREGADOS E MILITA</v>
      </c>
      <c r="G32" s="31" t="str">
        <f>IF('Access-Dez'!I31="1","F","S")</f>
        <v>F</v>
      </c>
      <c r="H32" s="31" t="str">
        <f>+'Access-Dez'!J31</f>
        <v>0100</v>
      </c>
      <c r="I32" s="32" t="str">
        <f>+'Access-Dez'!K31</f>
        <v>RECURSOS ORDINARIOS</v>
      </c>
      <c r="J32" s="31" t="str">
        <f>+'Access-Dez'!L31</f>
        <v>3</v>
      </c>
      <c r="K32" s="50"/>
      <c r="L32" s="50"/>
      <c r="M32" s="50"/>
      <c r="N32" s="50">
        <f t="shared" si="0"/>
        <v>0</v>
      </c>
      <c r="O32" s="50"/>
      <c r="P32" s="34">
        <f>'Access-Dez'!M31</f>
        <v>1236000</v>
      </c>
      <c r="Q32" s="34"/>
      <c r="R32" s="34">
        <f t="shared" si="1"/>
        <v>1236000</v>
      </c>
      <c r="S32" s="34">
        <f>'Access-Dez'!N31</f>
        <v>1024748.5</v>
      </c>
      <c r="T32" s="35">
        <f t="shared" si="2"/>
        <v>0.82908454692556632</v>
      </c>
      <c r="U32" s="34">
        <f>'Access-Dez'!O31</f>
        <v>1024748.5</v>
      </c>
      <c r="V32" s="35">
        <f t="shared" si="3"/>
        <v>0.82908454692556632</v>
      </c>
      <c r="W32" s="34">
        <f>'Access-Dez'!P31</f>
        <v>1024748.5</v>
      </c>
      <c r="X32" s="35">
        <f t="shared" si="4"/>
        <v>0.82908454692556632</v>
      </c>
    </row>
    <row r="33" spans="1:24" ht="25.5" customHeight="1" x14ac:dyDescent="0.2">
      <c r="A33" s="31" t="str">
        <f>+'Access-Dez'!A32</f>
        <v>12104</v>
      </c>
      <c r="B33" s="32" t="str">
        <f>+'Access-Dez'!B32</f>
        <v>TRIBUNAL REGIONAL FEDERAL DA 3A. REGIAO</v>
      </c>
      <c r="C33" s="31" t="str">
        <f>CONCATENATE('Access-Dez'!C32,".",'Access-Dez'!D32)</f>
        <v>02.331</v>
      </c>
      <c r="D33" s="31" t="str">
        <f>CONCATENATE('Access-Dez'!E32,".",'Access-Dez'!G32)</f>
        <v>0569.2012</v>
      </c>
      <c r="E33" s="32" t="str">
        <f>+'Access-Dez'!F32</f>
        <v>PRESTACAO JURISDICIONAL NA JUSTICA FEDERAL</v>
      </c>
      <c r="F33" s="32" t="str">
        <f>+'Access-Dez'!H32</f>
        <v>AUXILIO-ALIMENTACAO AOS SERVIDORES CIVIS, EMPREGADOS E MILIT</v>
      </c>
      <c r="G33" s="31" t="str">
        <f>IF('Access-Dez'!I32="1","F","S")</f>
        <v>F</v>
      </c>
      <c r="H33" s="31" t="str">
        <f>+'Access-Dez'!J32</f>
        <v>0100</v>
      </c>
      <c r="I33" s="32" t="str">
        <f>+'Access-Dez'!K32</f>
        <v>RECURSOS ORDINARIOS</v>
      </c>
      <c r="J33" s="31" t="str">
        <f>+'Access-Dez'!L32</f>
        <v>3</v>
      </c>
      <c r="K33" s="50"/>
      <c r="L33" s="50"/>
      <c r="M33" s="50"/>
      <c r="N33" s="50">
        <f>+K33+L33-M33</f>
        <v>0</v>
      </c>
      <c r="O33" s="50"/>
      <c r="P33" s="34">
        <f>'Access-Dez'!M32</f>
        <v>19565248</v>
      </c>
      <c r="Q33" s="34"/>
      <c r="R33" s="34">
        <f>N33-O33+P33</f>
        <v>19565248</v>
      </c>
      <c r="S33" s="34">
        <f>'Access-Dez'!N32</f>
        <v>19400161.100000001</v>
      </c>
      <c r="T33" s="35">
        <f>IF(R33&gt;0,S33/R33,0)</f>
        <v>0.99156223831152057</v>
      </c>
      <c r="U33" s="34">
        <f>'Access-Dez'!O32</f>
        <v>19399839.649999999</v>
      </c>
      <c r="V33" s="35">
        <f>IF(R33&gt;0,U33/R33,0)</f>
        <v>0.99154580867055697</v>
      </c>
      <c r="W33" s="34">
        <f>'Access-Dez'!P32</f>
        <v>19399839.649999999</v>
      </c>
      <c r="X33" s="35">
        <f>IF(R33&gt;0,W33/R33,0)</f>
        <v>0.99154580867055697</v>
      </c>
    </row>
    <row r="34" spans="1:24" ht="25.5" customHeight="1" x14ac:dyDescent="0.2">
      <c r="A34" s="31" t="str">
        <f>+'Access-Dez'!A33</f>
        <v>12104</v>
      </c>
      <c r="B34" s="32" t="str">
        <f>+'Access-Dez'!B33</f>
        <v>TRIBUNAL REGIONAL FEDERAL DA 3A. REGIAO</v>
      </c>
      <c r="C34" s="31" t="str">
        <f>CONCATENATE('Access-Dez'!C33,".",'Access-Dez'!D33)</f>
        <v>02.846</v>
      </c>
      <c r="D34" s="31" t="str">
        <f>CONCATENATE('Access-Dez'!E33,".",'Access-Dez'!G33)</f>
        <v>0569.09HB</v>
      </c>
      <c r="E34" s="32" t="str">
        <f>+'Access-Dez'!F33</f>
        <v>PRESTACAO JURISDICIONAL NA JUSTICA FEDERAL</v>
      </c>
      <c r="F34" s="32" t="str">
        <f>+'Access-Dez'!H33</f>
        <v>CONTRIBUICAO DA UNIAO, DE SUAS AUTARQUIAS E FUNDACOES PARA O</v>
      </c>
      <c r="G34" s="31" t="str">
        <f>IF('Access-Dez'!I33="1","F","S")</f>
        <v>F</v>
      </c>
      <c r="H34" s="31" t="str">
        <f>+'Access-Dez'!J33</f>
        <v>0100</v>
      </c>
      <c r="I34" s="32" t="str">
        <f>+'Access-Dez'!K33</f>
        <v>RECURSOS ORDINARIOS</v>
      </c>
      <c r="J34" s="31" t="str">
        <f>+'Access-Dez'!L33</f>
        <v>1</v>
      </c>
      <c r="K34" s="50"/>
      <c r="L34" s="50"/>
      <c r="M34" s="50"/>
      <c r="N34" s="50">
        <f>+K34+L34-M34</f>
        <v>0</v>
      </c>
      <c r="O34" s="50"/>
      <c r="P34" s="34">
        <f>'Access-Dez'!M33</f>
        <v>66891110.119999997</v>
      </c>
      <c r="Q34" s="34"/>
      <c r="R34" s="34">
        <f>N34-O34+P34</f>
        <v>66891110.119999997</v>
      </c>
      <c r="S34" s="34">
        <f>'Access-Dez'!N33</f>
        <v>66891110.119999997</v>
      </c>
      <c r="T34" s="35">
        <f>IF(R34&gt;0,S34/R34,0)</f>
        <v>1</v>
      </c>
      <c r="U34" s="34">
        <f>'Access-Dez'!O33</f>
        <v>66635480.259999998</v>
      </c>
      <c r="V34" s="35">
        <f>IF(R34&gt;0,U34/R34,0)</f>
        <v>0.99617841803579865</v>
      </c>
      <c r="W34" s="34">
        <f>'Access-Dez'!P33</f>
        <v>66635480.259999998</v>
      </c>
      <c r="X34" s="35">
        <f>IF(R34&gt;0,W34/R34,0)</f>
        <v>0.99617841803579865</v>
      </c>
    </row>
    <row r="35" spans="1:24" ht="25.5" customHeight="1" x14ac:dyDescent="0.2">
      <c r="A35" s="31" t="str">
        <f>+'Access-Dez'!A34</f>
        <v>12104</v>
      </c>
      <c r="B35" s="32" t="str">
        <f>+'Access-Dez'!B34</f>
        <v>TRIBUNAL REGIONAL FEDERAL DA 3A. REGIAO</v>
      </c>
      <c r="C35" s="31" t="str">
        <f>CONCATENATE('Access-Dez'!C34,".",'Access-Dez'!D34)</f>
        <v>09.272</v>
      </c>
      <c r="D35" s="31" t="str">
        <f>CONCATENATE('Access-Dez'!E34,".",'Access-Dez'!G34)</f>
        <v>0089.0181</v>
      </c>
      <c r="E35" s="32" t="str">
        <f>+'Access-Dez'!F34</f>
        <v>PREVIDENCIA DE INATIVOS E PENSIONISTAS DA UNIAO</v>
      </c>
      <c r="F35" s="32" t="str">
        <f>+'Access-Dez'!H34</f>
        <v>APOSENTADORIAS E PENSOES CIVIS DA UNIAO</v>
      </c>
      <c r="G35" s="31" t="str">
        <f>IF('Access-Dez'!I34="1","F","S")</f>
        <v>S</v>
      </c>
      <c r="H35" s="31" t="str">
        <f>+'Access-Dez'!J34</f>
        <v>0100</v>
      </c>
      <c r="I35" s="32" t="str">
        <f>+'Access-Dez'!K34</f>
        <v>RECURSOS ORDINARIOS</v>
      </c>
      <c r="J35" s="31" t="str">
        <f>+'Access-Dez'!L34</f>
        <v>1</v>
      </c>
      <c r="K35" s="50"/>
      <c r="L35" s="50"/>
      <c r="M35" s="50"/>
      <c r="N35" s="50">
        <f>+K35+L35-M35</f>
        <v>0</v>
      </c>
      <c r="O35" s="50"/>
      <c r="P35" s="34">
        <f>'Access-Dez'!M34</f>
        <v>20383369</v>
      </c>
      <c r="Q35" s="34"/>
      <c r="R35" s="34">
        <f>N35-O35+P35</f>
        <v>20383369</v>
      </c>
      <c r="S35" s="34">
        <f>'Access-Dez'!N34</f>
        <v>20383369</v>
      </c>
      <c r="T35" s="35">
        <f>IF(R35&gt;0,S35/R35,0)</f>
        <v>1</v>
      </c>
      <c r="U35" s="34">
        <f>'Access-Dez'!O34</f>
        <v>20295352</v>
      </c>
      <c r="V35" s="35">
        <f>IF(R35&gt;0,U35/R35,0)</f>
        <v>0.99568192088363805</v>
      </c>
      <c r="W35" s="34">
        <f>'Access-Dez'!P34</f>
        <v>19800242.59</v>
      </c>
      <c r="X35" s="35">
        <f>IF(R35&gt;0,W35/R35,0)</f>
        <v>0.9713920495674685</v>
      </c>
    </row>
    <row r="36" spans="1:24" ht="25.5" customHeight="1" x14ac:dyDescent="0.2">
      <c r="A36" s="31" t="str">
        <f>+'Access-Dez'!A35</f>
        <v>12104</v>
      </c>
      <c r="B36" s="32" t="str">
        <f>+'Access-Dez'!B35</f>
        <v>TRIBUNAL REGIONAL FEDERAL DA 3A. REGIAO</v>
      </c>
      <c r="C36" s="31" t="str">
        <f>CONCATENATE('Access-Dez'!C35,".",'Access-Dez'!D35)</f>
        <v>09.272</v>
      </c>
      <c r="D36" s="31" t="str">
        <f>CONCATENATE('Access-Dez'!E35,".",'Access-Dez'!G35)</f>
        <v>0089.0181</v>
      </c>
      <c r="E36" s="32" t="str">
        <f>+'Access-Dez'!F35</f>
        <v>PREVIDENCIA DE INATIVOS E PENSIONISTAS DA UNIAO</v>
      </c>
      <c r="F36" s="32" t="str">
        <f>+'Access-Dez'!H35</f>
        <v>APOSENTADORIAS E PENSOES CIVIS DA UNIAO</v>
      </c>
      <c r="G36" s="31" t="str">
        <f>IF('Access-Dez'!I35="1","F","S")</f>
        <v>S</v>
      </c>
      <c r="H36" s="31" t="str">
        <f>+'Access-Dez'!J35</f>
        <v>0156</v>
      </c>
      <c r="I36" s="32" t="str">
        <f>+'Access-Dez'!K35</f>
        <v>CONTRIBUICAO PLANO SEGURIDADE SOCIAL SERVIDOR</v>
      </c>
      <c r="J36" s="31" t="str">
        <f>+'Access-Dez'!L35</f>
        <v>1</v>
      </c>
      <c r="K36" s="50"/>
      <c r="L36" s="50"/>
      <c r="M36" s="50"/>
      <c r="N36" s="50">
        <f>+K36+L36-M36</f>
        <v>0</v>
      </c>
      <c r="O36" s="50"/>
      <c r="P36" s="34">
        <f>'Access-Dez'!M35</f>
        <v>27600000</v>
      </c>
      <c r="Q36" s="34"/>
      <c r="R36" s="34">
        <f>N36-O36+P36</f>
        <v>27600000</v>
      </c>
      <c r="S36" s="34">
        <f>'Access-Dez'!N35</f>
        <v>27600000</v>
      </c>
      <c r="T36" s="35">
        <f>IF(R36&gt;0,S36/R36,0)</f>
        <v>1</v>
      </c>
      <c r="U36" s="34">
        <f>'Access-Dez'!O35</f>
        <v>27600000</v>
      </c>
      <c r="V36" s="35">
        <f>IF(R36&gt;0,U36/R36,0)</f>
        <v>1</v>
      </c>
      <c r="W36" s="34">
        <f>'Access-Dez'!P35</f>
        <v>27600000</v>
      </c>
      <c r="X36" s="35">
        <f>IF(R36&gt;0,W36/R36,0)</f>
        <v>1</v>
      </c>
    </row>
    <row r="37" spans="1:24" ht="25.5" customHeight="1" thickBot="1" x14ac:dyDescent="0.25">
      <c r="A37" s="31" t="str">
        <f>+'Access-Dez'!A36</f>
        <v>12104</v>
      </c>
      <c r="B37" s="32" t="str">
        <f>+'Access-Dez'!B36</f>
        <v>TRIBUNAL REGIONAL FEDERAL DA 3A. REGIAO</v>
      </c>
      <c r="C37" s="31" t="str">
        <f>CONCATENATE('Access-Dez'!C36,".",'Access-Dez'!D36)</f>
        <v>09.272</v>
      </c>
      <c r="D37" s="31" t="str">
        <f>CONCATENATE('Access-Dez'!E36,".",'Access-Dez'!G36)</f>
        <v>0089.0181</v>
      </c>
      <c r="E37" s="32" t="str">
        <f>+'Access-Dez'!F36</f>
        <v>PREVIDENCIA DE INATIVOS E PENSIONISTAS DA UNIAO</v>
      </c>
      <c r="F37" s="32" t="str">
        <f>+'Access-Dez'!H36</f>
        <v>APOSENTADORIAS E PENSOES CIVIS DA UNIAO</v>
      </c>
      <c r="G37" s="31" t="str">
        <f>IF('Access-Dez'!I36="1","F","S")</f>
        <v>S</v>
      </c>
      <c r="H37" s="31" t="str">
        <f>+'Access-Dez'!J36</f>
        <v>0169</v>
      </c>
      <c r="I37" s="32" t="str">
        <f>+'Access-Dez'!K36</f>
        <v>CONTRIB.PATRONAL P/PLANO DE SEGURID.SOC.SERV.</v>
      </c>
      <c r="J37" s="31" t="str">
        <f>+'Access-Dez'!L36</f>
        <v>1</v>
      </c>
      <c r="K37" s="50"/>
      <c r="L37" s="50"/>
      <c r="M37" s="50"/>
      <c r="N37" s="50">
        <f>+K37+L37-M37</f>
        <v>0</v>
      </c>
      <c r="O37" s="50"/>
      <c r="P37" s="34">
        <f>'Access-Dez'!M36</f>
        <v>55200000</v>
      </c>
      <c r="Q37" s="34"/>
      <c r="R37" s="34">
        <f>N37-O37+P37</f>
        <v>55200000</v>
      </c>
      <c r="S37" s="34">
        <f>'Access-Dez'!N36</f>
        <v>55198671.399999999</v>
      </c>
      <c r="T37" s="35">
        <f>IF(R37&gt;0,S37/R37,0)</f>
        <v>0.99997593115942029</v>
      </c>
      <c r="U37" s="34">
        <f>'Access-Dez'!O36</f>
        <v>55198671.399999999</v>
      </c>
      <c r="V37" s="35">
        <f>IF(R37&gt;0,U37/R37,0)</f>
        <v>0.99997593115942029</v>
      </c>
      <c r="W37" s="34">
        <f>'Access-Dez'!P36</f>
        <v>55198671.399999999</v>
      </c>
      <c r="X37" s="35">
        <f>IF(R37&gt;0,W37/R37,0)</f>
        <v>0.99997593115942029</v>
      </c>
    </row>
    <row r="38" spans="1:24" ht="25.5" customHeight="1" thickBot="1" x14ac:dyDescent="0.25">
      <c r="A38" s="86" t="s">
        <v>113</v>
      </c>
      <c r="B38" s="87"/>
      <c r="C38" s="87"/>
      <c r="D38" s="87"/>
      <c r="E38" s="87"/>
      <c r="F38" s="87"/>
      <c r="G38" s="87"/>
      <c r="H38" s="87"/>
      <c r="I38" s="87"/>
      <c r="J38" s="88"/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52">
        <f>SUM(P10:P37)</f>
        <v>668145594.29999995</v>
      </c>
      <c r="Q38" s="52">
        <f>SUM(Q10:Q37)</f>
        <v>0</v>
      </c>
      <c r="R38" s="52">
        <f>SUM(R10:R37)</f>
        <v>668145594.29999995</v>
      </c>
      <c r="S38" s="52">
        <f>SUM(S10:S37)</f>
        <v>651930831.01999998</v>
      </c>
      <c r="T38" s="43">
        <f t="shared" si="2"/>
        <v>0.97573169168766605</v>
      </c>
      <c r="U38" s="52">
        <f>SUM(U10:U37)</f>
        <v>636265858.27999985</v>
      </c>
      <c r="V38" s="43">
        <f t="shared" si="3"/>
        <v>0.95228624375889248</v>
      </c>
      <c r="W38" s="52">
        <f>SUM(W10:W37)</f>
        <v>634068644.69999993</v>
      </c>
      <c r="X38" s="43">
        <f t="shared" si="4"/>
        <v>0.94899771862493287</v>
      </c>
    </row>
    <row r="39" spans="1:24" ht="25.5" customHeight="1" x14ac:dyDescent="0.2">
      <c r="A39" s="7" t="s">
        <v>114</v>
      </c>
      <c r="B39" s="7"/>
      <c r="C39" s="7"/>
      <c r="D39" s="7"/>
      <c r="E39" s="7"/>
      <c r="F39" s="7"/>
      <c r="G39" s="7"/>
      <c r="H39" s="8"/>
      <c r="I39" s="8"/>
      <c r="J39" s="8"/>
      <c r="K39" s="7"/>
      <c r="L39" s="7"/>
      <c r="M39" s="7"/>
      <c r="N39" s="7"/>
      <c r="O39" s="7"/>
      <c r="P39" s="7"/>
      <c r="Q39" s="7"/>
      <c r="R39" s="7"/>
      <c r="S39" s="7"/>
      <c r="T39" s="7"/>
      <c r="U39" s="45"/>
      <c r="V39" s="7"/>
      <c r="W39" s="45"/>
      <c r="X39" s="7"/>
    </row>
    <row r="40" spans="1:24" ht="25.5" customHeight="1" x14ac:dyDescent="0.2">
      <c r="A40" s="7" t="s">
        <v>115</v>
      </c>
      <c r="B40" s="53"/>
      <c r="C40" s="7"/>
      <c r="D40" s="7"/>
      <c r="E40" s="7"/>
      <c r="F40" s="7"/>
      <c r="G40" s="7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45"/>
      <c r="V40" s="7"/>
      <c r="W40" s="45"/>
      <c r="X40" s="7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16</v>
      </c>
      <c r="O43"/>
      <c r="P43" s="54">
        <f>SUM(P10:P37)</f>
        <v>668145594.29999995</v>
      </c>
      <c r="Q43" s="54"/>
      <c r="R43" s="54">
        <f>SUM(R10:R37)</f>
        <v>668145594.29999995</v>
      </c>
      <c r="S43" s="54">
        <f>SUM(S10:S37)</f>
        <v>651930831.01999998</v>
      </c>
      <c r="T43" s="54"/>
      <c r="U43" s="54">
        <f>SUM(U10:U37)</f>
        <v>636265858.27999985</v>
      </c>
      <c r="V43" s="54"/>
      <c r="W43" s="54">
        <f>SUM(W10:W37)</f>
        <v>634068644.69999993</v>
      </c>
      <c r="X43" s="38"/>
    </row>
    <row r="44" spans="1:24" ht="25.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 t="s">
        <v>132</v>
      </c>
      <c r="O44"/>
      <c r="P44" s="37">
        <f>'Access-Dez'!M38</f>
        <v>668145594.29999995</v>
      </c>
      <c r="Q44" s="37"/>
      <c r="R44" s="37">
        <f>'Access-Dez'!M38</f>
        <v>668145594.29999995</v>
      </c>
      <c r="S44" s="37">
        <f>'Access-Dez'!N38</f>
        <v>651930831.01999998</v>
      </c>
      <c r="T44" s="37"/>
      <c r="U44" s="37">
        <f>'Access-Dez'!O38</f>
        <v>636265858.27999985</v>
      </c>
      <c r="V44" s="37"/>
      <c r="W44" s="37">
        <f>'Access-Dez'!P38</f>
        <v>634068644.69999993</v>
      </c>
      <c r="X44" s="38"/>
    </row>
    <row r="45" spans="1:24" ht="25.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 t="s">
        <v>17</v>
      </c>
      <c r="O45"/>
      <c r="P45" s="37">
        <f>+P43-P44</f>
        <v>0</v>
      </c>
      <c r="Q45" s="37"/>
      <c r="R45" s="37">
        <f>+R43-R44</f>
        <v>0</v>
      </c>
      <c r="S45" s="37">
        <f>+S43-S44</f>
        <v>0</v>
      </c>
      <c r="T45" s="37"/>
      <c r="U45" s="37">
        <f>+U43-U44</f>
        <v>0</v>
      </c>
      <c r="V45" s="37"/>
      <c r="W45" s="37">
        <f>+W43-W44</f>
        <v>0</v>
      </c>
      <c r="X45" s="38"/>
    </row>
    <row r="46" spans="1:24" ht="25.5" customHeight="1" x14ac:dyDescent="0.2">
      <c r="P46" s="42"/>
      <c r="Q46" s="41"/>
      <c r="R46" s="42"/>
      <c r="S46" s="41"/>
      <c r="T46" s="42"/>
      <c r="U46" s="40"/>
      <c r="V46" s="40"/>
      <c r="W46" s="40"/>
    </row>
    <row r="47" spans="1:24" ht="25.5" customHeight="1" x14ac:dyDescent="0.2">
      <c r="N47" s="1" t="s">
        <v>152</v>
      </c>
      <c r="R47" s="69">
        <f>489642.81+667655951.49</f>
        <v>668145594.29999995</v>
      </c>
      <c r="S47" s="1">
        <f>362860.49+651567970.53</f>
        <v>651930831.01999998</v>
      </c>
      <c r="U47" s="67">
        <f>302950.42+635962907.86</f>
        <v>636265858.27999997</v>
      </c>
      <c r="W47" s="67">
        <f>302950.42+633765694.28</f>
        <v>634068644.69999993</v>
      </c>
    </row>
    <row r="48" spans="1:24" ht="25.5" customHeight="1" x14ac:dyDescent="0.2">
      <c r="P48" s="71"/>
      <c r="Q48" s="71"/>
      <c r="R48" s="72">
        <f>R47-R38</f>
        <v>0</v>
      </c>
      <c r="S48" s="72">
        <f>S47-S44</f>
        <v>0</v>
      </c>
      <c r="T48" s="71"/>
      <c r="U48" s="72">
        <f>U47-U44</f>
        <v>0</v>
      </c>
      <c r="V48" s="71"/>
      <c r="W48" s="72">
        <f>W47-W44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38:J38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Normal="100" workbookViewId="0">
      <selection activeCell="A33" sqref="A33:XFD33"/>
    </sheetView>
  </sheetViews>
  <sheetFormatPr defaultRowHeight="12.75" x14ac:dyDescent="0.2"/>
  <cols>
    <col min="13" max="16" width="16.140625" customWidth="1"/>
  </cols>
  <sheetData>
    <row r="1" spans="1:20" x14ac:dyDescent="0.2">
      <c r="A1" s="70" t="s">
        <v>120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0.5" customHeight="1" x14ac:dyDescent="0.2">
      <c r="A3" s="70" t="s">
        <v>121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0.5" customHeight="1" x14ac:dyDescent="0.2">
      <c r="A4" s="101" t="s">
        <v>153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70"/>
      <c r="R4" s="70"/>
      <c r="S4" s="70"/>
      <c r="T4" s="70"/>
    </row>
    <row r="5" spans="1:20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spans="1:20" x14ac:dyDescent="0.2">
      <c r="A6" s="70" t="s">
        <v>23</v>
      </c>
      <c r="B6" s="70"/>
      <c r="C6" s="70" t="s">
        <v>24</v>
      </c>
      <c r="D6" s="70" t="s">
        <v>25</v>
      </c>
      <c r="E6" s="70" t="s">
        <v>26</v>
      </c>
      <c r="F6" s="70"/>
      <c r="G6" s="70" t="s">
        <v>27</v>
      </c>
      <c r="H6" s="70"/>
      <c r="I6" s="70" t="s">
        <v>28</v>
      </c>
      <c r="J6" s="70" t="s">
        <v>29</v>
      </c>
      <c r="K6" s="70" t="s">
        <v>30</v>
      </c>
      <c r="L6" s="70" t="s">
        <v>31</v>
      </c>
      <c r="M6" s="70" t="s">
        <v>32</v>
      </c>
      <c r="N6" s="70" t="s">
        <v>125</v>
      </c>
      <c r="O6" s="70" t="s">
        <v>126</v>
      </c>
      <c r="P6" s="70" t="s">
        <v>127</v>
      </c>
      <c r="Q6" s="70"/>
      <c r="R6" s="70"/>
      <c r="S6" s="70"/>
      <c r="T6" s="70"/>
    </row>
    <row r="7" spans="1:20" x14ac:dyDescent="0.2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 t="s">
        <v>33</v>
      </c>
      <c r="N7" s="70" t="s">
        <v>128</v>
      </c>
      <c r="O7" s="70" t="s">
        <v>129</v>
      </c>
      <c r="P7" s="70" t="s">
        <v>130</v>
      </c>
      <c r="Q7" s="70"/>
      <c r="R7" s="70"/>
      <c r="S7" s="70"/>
      <c r="T7" s="70"/>
    </row>
    <row r="8" spans="1:20" x14ac:dyDescent="0.2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 t="s">
        <v>34</v>
      </c>
      <c r="M8" s="70" t="s">
        <v>143</v>
      </c>
      <c r="N8" s="70" t="s">
        <v>143</v>
      </c>
      <c r="O8" s="70" t="s">
        <v>143</v>
      </c>
      <c r="P8" s="70" t="s">
        <v>143</v>
      </c>
      <c r="Q8" s="70"/>
      <c r="R8" s="70"/>
      <c r="S8" s="70"/>
      <c r="T8" s="70"/>
    </row>
    <row r="9" spans="1:20" x14ac:dyDescent="0.2">
      <c r="A9" s="70" t="s">
        <v>42</v>
      </c>
      <c r="B9" s="70" t="s">
        <v>43</v>
      </c>
      <c r="C9" s="70" t="s">
        <v>35</v>
      </c>
      <c r="D9" s="70" t="s">
        <v>44</v>
      </c>
      <c r="E9" s="70" t="s">
        <v>37</v>
      </c>
      <c r="F9" s="70" t="s">
        <v>38</v>
      </c>
      <c r="G9" s="70" t="s">
        <v>45</v>
      </c>
      <c r="H9" s="70" t="s">
        <v>46</v>
      </c>
      <c r="I9" s="70" t="s">
        <v>11</v>
      </c>
      <c r="J9" s="70" t="s">
        <v>20</v>
      </c>
      <c r="K9" s="70" t="s">
        <v>41</v>
      </c>
      <c r="L9" s="70" t="s">
        <v>14</v>
      </c>
      <c r="M9" s="5">
        <v>15000</v>
      </c>
      <c r="N9" s="70"/>
      <c r="O9" s="70"/>
      <c r="P9" s="70"/>
      <c r="Q9" s="70"/>
      <c r="R9" s="70"/>
      <c r="S9" s="70"/>
      <c r="T9" s="70"/>
    </row>
    <row r="10" spans="1:20" x14ac:dyDescent="0.2">
      <c r="A10" s="70" t="s">
        <v>42</v>
      </c>
      <c r="B10" s="70" t="s">
        <v>43</v>
      </c>
      <c r="C10" s="70" t="s">
        <v>35</v>
      </c>
      <c r="D10" s="70" t="s">
        <v>44</v>
      </c>
      <c r="E10" s="70" t="s">
        <v>37</v>
      </c>
      <c r="F10" s="70" t="s">
        <v>38</v>
      </c>
      <c r="G10" s="70" t="s">
        <v>47</v>
      </c>
      <c r="H10" s="70" t="s">
        <v>48</v>
      </c>
      <c r="I10" s="70" t="s">
        <v>11</v>
      </c>
      <c r="J10" s="70" t="s">
        <v>20</v>
      </c>
      <c r="K10" s="70" t="s">
        <v>41</v>
      </c>
      <c r="L10" s="70" t="s">
        <v>15</v>
      </c>
      <c r="M10" s="5">
        <v>3362304</v>
      </c>
      <c r="N10" s="70"/>
      <c r="O10" s="70"/>
      <c r="P10" s="70"/>
      <c r="Q10" s="70"/>
      <c r="R10" s="70"/>
      <c r="S10" s="70"/>
      <c r="T10" s="70"/>
    </row>
    <row r="11" spans="1:20" x14ac:dyDescent="0.2">
      <c r="A11" s="70" t="s">
        <v>42</v>
      </c>
      <c r="B11" s="70" t="s">
        <v>43</v>
      </c>
      <c r="C11" s="70" t="s">
        <v>35</v>
      </c>
      <c r="D11" s="70" t="s">
        <v>44</v>
      </c>
      <c r="E11" s="70" t="s">
        <v>37</v>
      </c>
      <c r="F11" s="70" t="s">
        <v>38</v>
      </c>
      <c r="G11" s="70" t="s">
        <v>47</v>
      </c>
      <c r="H11" s="70" t="s">
        <v>48</v>
      </c>
      <c r="I11" s="70" t="s">
        <v>11</v>
      </c>
      <c r="J11" s="70" t="s">
        <v>20</v>
      </c>
      <c r="K11" s="70" t="s">
        <v>41</v>
      </c>
      <c r="L11" s="70" t="s">
        <v>14</v>
      </c>
      <c r="M11" s="5">
        <v>53186985</v>
      </c>
      <c r="N11" s="5">
        <v>32244643.350000001</v>
      </c>
      <c r="O11" s="5">
        <v>231843.34</v>
      </c>
      <c r="P11" s="5">
        <v>168388.8</v>
      </c>
      <c r="Q11" s="70"/>
      <c r="R11" s="70"/>
      <c r="S11" s="70"/>
      <c r="T11" s="70"/>
    </row>
    <row r="12" spans="1:20" x14ac:dyDescent="0.2">
      <c r="A12" s="70" t="s">
        <v>42</v>
      </c>
      <c r="B12" s="70" t="s">
        <v>43</v>
      </c>
      <c r="C12" s="70" t="s">
        <v>35</v>
      </c>
      <c r="D12" s="70" t="s">
        <v>44</v>
      </c>
      <c r="E12" s="70" t="s">
        <v>37</v>
      </c>
      <c r="F12" s="70" t="s">
        <v>38</v>
      </c>
      <c r="G12" s="70" t="s">
        <v>47</v>
      </c>
      <c r="H12" s="70" t="s">
        <v>48</v>
      </c>
      <c r="I12" s="70" t="s">
        <v>11</v>
      </c>
      <c r="J12" s="70" t="s">
        <v>21</v>
      </c>
      <c r="K12" s="70" t="s">
        <v>49</v>
      </c>
      <c r="L12" s="70" t="s">
        <v>14</v>
      </c>
      <c r="M12" s="5">
        <v>7243081</v>
      </c>
      <c r="N12" s="5">
        <v>7159159.6799999997</v>
      </c>
      <c r="O12" s="5">
        <v>559580.74</v>
      </c>
      <c r="P12" s="5">
        <v>253308.88</v>
      </c>
      <c r="Q12" s="70"/>
      <c r="R12" s="70"/>
      <c r="S12" s="70"/>
      <c r="T12" s="70"/>
    </row>
    <row r="13" spans="1:20" x14ac:dyDescent="0.2">
      <c r="A13" s="70" t="s">
        <v>42</v>
      </c>
      <c r="B13" s="70" t="s">
        <v>43</v>
      </c>
      <c r="C13" s="70" t="s">
        <v>35</v>
      </c>
      <c r="D13" s="70" t="s">
        <v>44</v>
      </c>
      <c r="E13" s="70" t="s">
        <v>37</v>
      </c>
      <c r="F13" s="70" t="s">
        <v>38</v>
      </c>
      <c r="G13" s="70" t="s">
        <v>47</v>
      </c>
      <c r="H13" s="70" t="s">
        <v>48</v>
      </c>
      <c r="I13" s="70" t="s">
        <v>11</v>
      </c>
      <c r="J13" s="70" t="s">
        <v>76</v>
      </c>
      <c r="K13" s="70" t="s">
        <v>122</v>
      </c>
      <c r="L13" s="70" t="s">
        <v>15</v>
      </c>
      <c r="M13" s="5">
        <v>3394236</v>
      </c>
      <c r="N13" s="70"/>
      <c r="O13" s="70"/>
      <c r="P13" s="70"/>
      <c r="Q13" s="70"/>
      <c r="R13" s="70"/>
      <c r="S13" s="70"/>
      <c r="T13" s="70"/>
    </row>
    <row r="14" spans="1:20" x14ac:dyDescent="0.2">
      <c r="A14" s="70" t="s">
        <v>42</v>
      </c>
      <c r="B14" s="70" t="s">
        <v>43</v>
      </c>
      <c r="C14" s="70" t="s">
        <v>35</v>
      </c>
      <c r="D14" s="70" t="s">
        <v>51</v>
      </c>
      <c r="E14" s="70" t="s">
        <v>37</v>
      </c>
      <c r="F14" s="70" t="s">
        <v>38</v>
      </c>
      <c r="G14" s="70" t="s">
        <v>138</v>
      </c>
      <c r="H14" s="70" t="s">
        <v>55</v>
      </c>
      <c r="I14" s="70" t="s">
        <v>11</v>
      </c>
      <c r="J14" s="70" t="s">
        <v>20</v>
      </c>
      <c r="K14" s="70" t="s">
        <v>41</v>
      </c>
      <c r="L14" s="70" t="s">
        <v>15</v>
      </c>
      <c r="M14" s="5">
        <v>7000000</v>
      </c>
      <c r="N14" s="70"/>
      <c r="O14" s="70"/>
      <c r="P14" s="70"/>
      <c r="Q14" s="70"/>
      <c r="R14" s="70"/>
      <c r="S14" s="70"/>
      <c r="T14" s="70"/>
    </row>
    <row r="15" spans="1:20" x14ac:dyDescent="0.2">
      <c r="A15" s="70" t="s">
        <v>42</v>
      </c>
      <c r="B15" s="70" t="s">
        <v>43</v>
      </c>
      <c r="C15" s="70" t="s">
        <v>35</v>
      </c>
      <c r="D15" s="70" t="s">
        <v>51</v>
      </c>
      <c r="E15" s="70" t="s">
        <v>37</v>
      </c>
      <c r="F15" s="70" t="s">
        <v>38</v>
      </c>
      <c r="G15" s="70" t="s">
        <v>154</v>
      </c>
      <c r="H15" s="70" t="s">
        <v>123</v>
      </c>
      <c r="I15" s="70" t="s">
        <v>11</v>
      </c>
      <c r="J15" s="70" t="s">
        <v>76</v>
      </c>
      <c r="K15" s="70" t="s">
        <v>122</v>
      </c>
      <c r="L15" s="70" t="s">
        <v>13</v>
      </c>
      <c r="M15" s="5">
        <v>9000000</v>
      </c>
      <c r="N15" s="70"/>
      <c r="O15" s="70"/>
      <c r="P15" s="70"/>
      <c r="Q15" s="70"/>
      <c r="R15" s="70"/>
      <c r="S15" s="70"/>
      <c r="T15" s="70"/>
    </row>
    <row r="16" spans="1:20" x14ac:dyDescent="0.2">
      <c r="A16" s="70" t="s">
        <v>42</v>
      </c>
      <c r="B16" s="70" t="s">
        <v>43</v>
      </c>
      <c r="C16" s="70" t="s">
        <v>35</v>
      </c>
      <c r="D16" s="70" t="s">
        <v>51</v>
      </c>
      <c r="E16" s="70" t="s">
        <v>37</v>
      </c>
      <c r="F16" s="70" t="s">
        <v>38</v>
      </c>
      <c r="G16" s="70" t="s">
        <v>54</v>
      </c>
      <c r="H16" s="70" t="s">
        <v>150</v>
      </c>
      <c r="I16" s="70" t="s">
        <v>11</v>
      </c>
      <c r="J16" s="70" t="s">
        <v>20</v>
      </c>
      <c r="K16" s="70" t="s">
        <v>41</v>
      </c>
      <c r="L16" s="70" t="s">
        <v>11</v>
      </c>
      <c r="M16" s="5">
        <v>45719784.020000003</v>
      </c>
      <c r="N16" s="5">
        <v>45101266.25</v>
      </c>
      <c r="O16" s="5">
        <v>45100894.189999998</v>
      </c>
      <c r="P16" s="5">
        <v>43415116.210000001</v>
      </c>
      <c r="Q16" s="70"/>
      <c r="R16" s="70"/>
      <c r="S16" s="70"/>
      <c r="T16" s="70"/>
    </row>
    <row r="17" spans="1:20" x14ac:dyDescent="0.2">
      <c r="A17" s="70" t="s">
        <v>42</v>
      </c>
      <c r="B17" s="70" t="s">
        <v>43</v>
      </c>
      <c r="C17" s="70" t="s">
        <v>35</v>
      </c>
      <c r="D17" s="70" t="s">
        <v>51</v>
      </c>
      <c r="E17" s="70" t="s">
        <v>37</v>
      </c>
      <c r="F17" s="70" t="s">
        <v>38</v>
      </c>
      <c r="G17" s="70" t="s">
        <v>124</v>
      </c>
      <c r="H17" s="70" t="s">
        <v>118</v>
      </c>
      <c r="I17" s="70" t="s">
        <v>11</v>
      </c>
      <c r="J17" s="70" t="s">
        <v>20</v>
      </c>
      <c r="K17" s="70" t="s">
        <v>41</v>
      </c>
      <c r="L17" s="70" t="s">
        <v>14</v>
      </c>
      <c r="M17" s="5">
        <v>2442858</v>
      </c>
      <c r="N17" s="5">
        <v>186971.94</v>
      </c>
      <c r="O17" s="5">
        <v>186971.94</v>
      </c>
      <c r="P17" s="5">
        <v>186971.94</v>
      </c>
      <c r="Q17" s="70"/>
      <c r="R17" s="70"/>
      <c r="S17" s="70"/>
      <c r="T17" s="70"/>
    </row>
    <row r="18" spans="1:20" x14ac:dyDescent="0.2">
      <c r="A18" s="70" t="s">
        <v>42</v>
      </c>
      <c r="B18" s="70" t="s">
        <v>43</v>
      </c>
      <c r="C18" s="70" t="s">
        <v>35</v>
      </c>
      <c r="D18" s="70" t="s">
        <v>36</v>
      </c>
      <c r="E18" s="70" t="s">
        <v>37</v>
      </c>
      <c r="F18" s="70" t="s">
        <v>38</v>
      </c>
      <c r="G18" s="70" t="s">
        <v>39</v>
      </c>
      <c r="H18" s="70" t="s">
        <v>40</v>
      </c>
      <c r="I18" s="70" t="s">
        <v>11</v>
      </c>
      <c r="J18" s="70" t="s">
        <v>20</v>
      </c>
      <c r="K18" s="70" t="s">
        <v>41</v>
      </c>
      <c r="L18" s="70" t="s">
        <v>15</v>
      </c>
      <c r="M18" s="5">
        <v>658450</v>
      </c>
      <c r="N18" s="70"/>
      <c r="O18" s="70"/>
      <c r="P18" s="70"/>
      <c r="Q18" s="70"/>
      <c r="R18" s="70"/>
      <c r="S18" s="70"/>
      <c r="T18" s="70"/>
    </row>
    <row r="19" spans="1:20" x14ac:dyDescent="0.2">
      <c r="A19" s="70" t="s">
        <v>42</v>
      </c>
      <c r="B19" s="70" t="s">
        <v>43</v>
      </c>
      <c r="C19" s="70" t="s">
        <v>35</v>
      </c>
      <c r="D19" s="70" t="s">
        <v>36</v>
      </c>
      <c r="E19" s="70" t="s">
        <v>37</v>
      </c>
      <c r="F19" s="70" t="s">
        <v>38</v>
      </c>
      <c r="G19" s="70" t="s">
        <v>39</v>
      </c>
      <c r="H19" s="70" t="s">
        <v>40</v>
      </c>
      <c r="I19" s="70" t="s">
        <v>11</v>
      </c>
      <c r="J19" s="70" t="s">
        <v>20</v>
      </c>
      <c r="K19" s="70" t="s">
        <v>41</v>
      </c>
      <c r="L19" s="70" t="s">
        <v>14</v>
      </c>
      <c r="M19" s="5">
        <v>603773</v>
      </c>
      <c r="N19" s="5">
        <v>594734</v>
      </c>
      <c r="O19" s="70"/>
      <c r="P19" s="70"/>
      <c r="Q19" s="70"/>
      <c r="R19" s="70"/>
      <c r="S19" s="70"/>
      <c r="T19" s="70"/>
    </row>
    <row r="20" spans="1:20" x14ac:dyDescent="0.2">
      <c r="A20" s="70" t="s">
        <v>42</v>
      </c>
      <c r="B20" s="70" t="s">
        <v>43</v>
      </c>
      <c r="C20" s="70" t="s">
        <v>35</v>
      </c>
      <c r="D20" s="70" t="s">
        <v>56</v>
      </c>
      <c r="E20" s="70" t="s">
        <v>37</v>
      </c>
      <c r="F20" s="70" t="s">
        <v>38</v>
      </c>
      <c r="G20" s="70" t="s">
        <v>57</v>
      </c>
      <c r="H20" s="70" t="s">
        <v>58</v>
      </c>
      <c r="I20" s="70" t="s">
        <v>11</v>
      </c>
      <c r="J20" s="70" t="s">
        <v>20</v>
      </c>
      <c r="K20" s="70" t="s">
        <v>41</v>
      </c>
      <c r="L20" s="70" t="s">
        <v>14</v>
      </c>
      <c r="M20" s="5">
        <v>560609</v>
      </c>
      <c r="N20" s="5">
        <v>483456.48</v>
      </c>
      <c r="O20" s="70"/>
      <c r="P20" s="70"/>
      <c r="Q20" s="70"/>
      <c r="R20" s="70"/>
      <c r="S20" s="70"/>
      <c r="T20" s="70"/>
    </row>
    <row r="21" spans="1:20" x14ac:dyDescent="0.2">
      <c r="A21" s="70" t="s">
        <v>42</v>
      </c>
      <c r="B21" s="70" t="s">
        <v>43</v>
      </c>
      <c r="C21" s="70" t="s">
        <v>35</v>
      </c>
      <c r="D21" s="70" t="s">
        <v>59</v>
      </c>
      <c r="E21" s="70" t="s">
        <v>37</v>
      </c>
      <c r="F21" s="70" t="s">
        <v>38</v>
      </c>
      <c r="G21" s="70" t="s">
        <v>60</v>
      </c>
      <c r="H21" s="70" t="s">
        <v>61</v>
      </c>
      <c r="I21" s="70" t="s">
        <v>62</v>
      </c>
      <c r="J21" s="70" t="s">
        <v>20</v>
      </c>
      <c r="K21" s="70" t="s">
        <v>41</v>
      </c>
      <c r="L21" s="70" t="s">
        <v>15</v>
      </c>
      <c r="M21" s="5">
        <v>15000</v>
      </c>
      <c r="N21" s="70"/>
      <c r="O21" s="70"/>
      <c r="P21" s="70"/>
      <c r="Q21" s="70"/>
      <c r="R21" s="70"/>
      <c r="S21" s="70"/>
      <c r="T21" s="70"/>
    </row>
    <row r="22" spans="1:20" x14ac:dyDescent="0.2">
      <c r="A22" s="70" t="s">
        <v>42</v>
      </c>
      <c r="B22" s="70" t="s">
        <v>43</v>
      </c>
      <c r="C22" s="70" t="s">
        <v>35</v>
      </c>
      <c r="D22" s="70" t="s">
        <v>59</v>
      </c>
      <c r="E22" s="70" t="s">
        <v>37</v>
      </c>
      <c r="F22" s="70" t="s">
        <v>38</v>
      </c>
      <c r="G22" s="70" t="s">
        <v>60</v>
      </c>
      <c r="H22" s="70" t="s">
        <v>61</v>
      </c>
      <c r="I22" s="70" t="s">
        <v>62</v>
      </c>
      <c r="J22" s="70" t="s">
        <v>20</v>
      </c>
      <c r="K22" s="70" t="s">
        <v>41</v>
      </c>
      <c r="L22" s="70" t="s">
        <v>14</v>
      </c>
      <c r="M22" s="5">
        <v>12111000</v>
      </c>
      <c r="N22" s="5">
        <v>7893400</v>
      </c>
      <c r="O22" s="5">
        <v>65707.75</v>
      </c>
      <c r="P22" s="5">
        <v>65707.75</v>
      </c>
      <c r="Q22" s="70"/>
      <c r="R22" s="70"/>
      <c r="S22" s="70"/>
      <c r="T22" s="70"/>
    </row>
    <row r="23" spans="1:20" x14ac:dyDescent="0.2">
      <c r="A23" s="70" t="s">
        <v>42</v>
      </c>
      <c r="B23" s="70" t="s">
        <v>43</v>
      </c>
      <c r="C23" s="70" t="s">
        <v>35</v>
      </c>
      <c r="D23" s="70" t="s">
        <v>63</v>
      </c>
      <c r="E23" s="70" t="s">
        <v>37</v>
      </c>
      <c r="F23" s="70" t="s">
        <v>38</v>
      </c>
      <c r="G23" s="70" t="s">
        <v>155</v>
      </c>
      <c r="H23" s="70" t="s">
        <v>156</v>
      </c>
      <c r="I23" s="70" t="s">
        <v>11</v>
      </c>
      <c r="J23" s="70" t="s">
        <v>20</v>
      </c>
      <c r="K23" s="70" t="s">
        <v>41</v>
      </c>
      <c r="L23" s="70" t="s">
        <v>14</v>
      </c>
      <c r="M23" s="5">
        <v>22975613.25</v>
      </c>
      <c r="N23" s="5">
        <v>22975613.25</v>
      </c>
      <c r="O23" s="5">
        <v>1843506.49</v>
      </c>
      <c r="P23" s="5">
        <v>1843506.49</v>
      </c>
      <c r="Q23" s="70"/>
      <c r="R23" s="70"/>
      <c r="S23" s="70"/>
      <c r="T23" s="70"/>
    </row>
    <row r="24" spans="1:20" x14ac:dyDescent="0.2">
      <c r="A24" s="70" t="s">
        <v>42</v>
      </c>
      <c r="B24" s="70" t="s">
        <v>43</v>
      </c>
      <c r="C24" s="70" t="s">
        <v>35</v>
      </c>
      <c r="D24" s="70" t="s">
        <v>139</v>
      </c>
      <c r="E24" s="70" t="s">
        <v>37</v>
      </c>
      <c r="F24" s="70" t="s">
        <v>38</v>
      </c>
      <c r="G24" s="70" t="s">
        <v>52</v>
      </c>
      <c r="H24" s="70" t="s">
        <v>53</v>
      </c>
      <c r="I24" s="70" t="s">
        <v>11</v>
      </c>
      <c r="J24" s="70" t="s">
        <v>20</v>
      </c>
      <c r="K24" s="70" t="s">
        <v>41</v>
      </c>
      <c r="L24" s="70" t="s">
        <v>11</v>
      </c>
      <c r="M24" s="5">
        <v>5539880.79</v>
      </c>
      <c r="N24" s="5">
        <v>5539880.79</v>
      </c>
      <c r="O24" s="5">
        <v>5539880.79</v>
      </c>
      <c r="P24" s="5">
        <v>5539880.79</v>
      </c>
      <c r="Q24" s="70"/>
      <c r="R24" s="70"/>
      <c r="S24" s="70"/>
      <c r="T24" s="70"/>
    </row>
    <row r="25" spans="1:20" x14ac:dyDescent="0.2">
      <c r="A25" s="70" t="s">
        <v>42</v>
      </c>
      <c r="B25" s="70" t="s">
        <v>43</v>
      </c>
      <c r="C25" s="70" t="s">
        <v>72</v>
      </c>
      <c r="D25" s="70" t="s">
        <v>73</v>
      </c>
      <c r="E25" s="70" t="s">
        <v>74</v>
      </c>
      <c r="F25" s="70" t="s">
        <v>75</v>
      </c>
      <c r="G25" s="70" t="s">
        <v>76</v>
      </c>
      <c r="H25" s="70" t="s">
        <v>151</v>
      </c>
      <c r="I25" s="70" t="s">
        <v>62</v>
      </c>
      <c r="J25" s="70" t="s">
        <v>19</v>
      </c>
      <c r="K25" s="70" t="s">
        <v>78</v>
      </c>
      <c r="L25" s="70" t="s">
        <v>11</v>
      </c>
      <c r="M25" s="5">
        <v>12654818.109999999</v>
      </c>
      <c r="N25" s="5">
        <v>12654818.109999999</v>
      </c>
      <c r="O25" s="5">
        <v>12654818.109999999</v>
      </c>
      <c r="P25" s="5">
        <v>12151754.15</v>
      </c>
      <c r="Q25" s="70"/>
      <c r="R25" s="70"/>
      <c r="S25" s="70"/>
      <c r="T25" s="70"/>
    </row>
    <row r="26" spans="1:20" x14ac:dyDescent="0.2">
      <c r="A26" s="70" t="s">
        <v>42</v>
      </c>
      <c r="B26" s="70" t="s">
        <v>43</v>
      </c>
      <c r="C26" s="70" t="s">
        <v>157</v>
      </c>
      <c r="D26" s="70" t="s">
        <v>139</v>
      </c>
      <c r="E26" s="70" t="s">
        <v>158</v>
      </c>
      <c r="F26" s="70" t="s">
        <v>159</v>
      </c>
      <c r="G26" s="70" t="s">
        <v>160</v>
      </c>
      <c r="H26" s="70" t="s">
        <v>161</v>
      </c>
      <c r="I26" s="70" t="s">
        <v>62</v>
      </c>
      <c r="J26" s="70" t="s">
        <v>20</v>
      </c>
      <c r="K26" s="70" t="s">
        <v>41</v>
      </c>
      <c r="L26" s="70" t="s">
        <v>14</v>
      </c>
      <c r="M26" s="5">
        <v>18684</v>
      </c>
      <c r="N26" s="5">
        <v>1501.74</v>
      </c>
      <c r="O26" s="5">
        <v>1501.74</v>
      </c>
      <c r="P26" s="5">
        <v>1501.74</v>
      </c>
      <c r="Q26" s="70"/>
      <c r="R26" s="70"/>
      <c r="S26" s="70"/>
      <c r="T26" s="70"/>
    </row>
    <row r="27" spans="1:20" x14ac:dyDescent="0.2">
      <c r="M27" s="5"/>
      <c r="N27" s="5"/>
      <c r="O27" s="5"/>
      <c r="P27" s="5"/>
    </row>
    <row r="28" spans="1:20" x14ac:dyDescent="0.2">
      <c r="M28" s="5">
        <f>SUM(M9:M27)</f>
        <v>186502076.17000002</v>
      </c>
      <c r="N28" s="5">
        <f t="shared" ref="N28:P28" si="0">SUM(N9:N27)</f>
        <v>134835445.59000003</v>
      </c>
      <c r="O28" s="5">
        <f t="shared" si="0"/>
        <v>66184705.089999996</v>
      </c>
      <c r="P28" s="5">
        <f t="shared" si="0"/>
        <v>63626136.75</v>
      </c>
    </row>
    <row r="29" spans="1:20" x14ac:dyDescent="0.2">
      <c r="M29" s="5"/>
      <c r="N29" s="5"/>
      <c r="O29" s="5"/>
      <c r="P29" s="5"/>
    </row>
    <row r="30" spans="1:20" x14ac:dyDescent="0.2">
      <c r="M30" s="5"/>
      <c r="N30" s="5"/>
      <c r="O30" s="5"/>
      <c r="P30" s="5"/>
    </row>
    <row r="31" spans="1:20" x14ac:dyDescent="0.2">
      <c r="M31" s="5"/>
      <c r="N31" s="5"/>
      <c r="O31" s="5"/>
      <c r="P31" s="5"/>
    </row>
    <row r="32" spans="1:20" x14ac:dyDescent="0.2">
      <c r="M32" s="5"/>
      <c r="N32" s="5"/>
      <c r="O32" s="5"/>
      <c r="P32" s="5"/>
    </row>
    <row r="35" spans="13:16" x14ac:dyDescent="0.2">
      <c r="M35" s="56"/>
      <c r="N35" s="56"/>
      <c r="O35" s="56"/>
      <c r="P35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zoomScaleNormal="100" workbookViewId="0">
      <selection activeCell="A33" sqref="A33:XFD33"/>
    </sheetView>
  </sheetViews>
  <sheetFormatPr defaultRowHeight="12.75" x14ac:dyDescent="0.2"/>
  <cols>
    <col min="1" max="6" width="9.140625" style="2"/>
    <col min="7" max="12" width="9.140625" style="1"/>
    <col min="13" max="15" width="13.85546875" style="1" bestFit="1" customWidth="1"/>
    <col min="16" max="16" width="14.140625" style="3" customWidth="1"/>
    <col min="17" max="17" width="9.140625" style="1"/>
    <col min="18" max="18" width="9.140625" style="3"/>
    <col min="19" max="19" width="9.140625" style="1"/>
    <col min="20" max="20" width="9.140625" style="3"/>
    <col min="21" max="16384" width="9.140625" style="4"/>
  </cols>
  <sheetData>
    <row r="1" spans="1:20" x14ac:dyDescent="0.2">
      <c r="A1" t="s">
        <v>120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</row>
    <row r="3" spans="1:20" x14ac:dyDescent="0.2">
      <c r="A3" t="s">
        <v>121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</row>
    <row r="4" spans="1:20" x14ac:dyDescent="0.2">
      <c r="A4" s="101" t="s">
        <v>162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20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  <row r="6" spans="1:20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20" x14ac:dyDescent="0.2">
      <c r="A7" t="s">
        <v>23</v>
      </c>
      <c r="B7"/>
      <c r="C7" t="s">
        <v>24</v>
      </c>
      <c r="D7" t="s">
        <v>25</v>
      </c>
      <c r="E7" t="s">
        <v>26</v>
      </c>
      <c r="F7"/>
      <c r="G7" t="s">
        <v>27</v>
      </c>
      <c r="H7"/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20" x14ac:dyDescent="0.2">
      <c r="A8"/>
      <c r="B8"/>
      <c r="C8"/>
      <c r="D8"/>
      <c r="E8"/>
      <c r="F8"/>
      <c r="G8"/>
      <c r="H8"/>
      <c r="I8"/>
      <c r="J8"/>
      <c r="K8"/>
      <c r="L8"/>
      <c r="M8" t="s">
        <v>33</v>
      </c>
      <c r="N8" t="s">
        <v>128</v>
      </c>
      <c r="O8" t="s">
        <v>129</v>
      </c>
      <c r="P8" t="s">
        <v>130</v>
      </c>
    </row>
    <row r="9" spans="1:20" x14ac:dyDescent="0.2">
      <c r="A9"/>
      <c r="B9"/>
      <c r="C9"/>
      <c r="D9"/>
      <c r="E9"/>
      <c r="F9"/>
      <c r="G9"/>
      <c r="H9"/>
      <c r="I9"/>
      <c r="J9"/>
      <c r="K9"/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20" x14ac:dyDescent="0.2">
      <c r="A10" s="74" t="s">
        <v>42</v>
      </c>
      <c r="B10" s="74" t="s">
        <v>43</v>
      </c>
      <c r="C10" s="74" t="s">
        <v>35</v>
      </c>
      <c r="D10" s="74" t="s">
        <v>44</v>
      </c>
      <c r="E10" s="74" t="s">
        <v>37</v>
      </c>
      <c r="F10" s="74" t="s">
        <v>38</v>
      </c>
      <c r="G10" s="74" t="s">
        <v>45</v>
      </c>
      <c r="H10" s="74" t="s">
        <v>46</v>
      </c>
      <c r="I10" s="74" t="s">
        <v>11</v>
      </c>
      <c r="J10" s="74" t="s">
        <v>20</v>
      </c>
      <c r="K10" s="74" t="s">
        <v>41</v>
      </c>
      <c r="L10" s="74" t="s">
        <v>14</v>
      </c>
      <c r="M10" s="5">
        <v>15000</v>
      </c>
      <c r="N10" s="5">
        <v>15000</v>
      </c>
      <c r="O10" s="74"/>
      <c r="P10" s="74"/>
      <c r="Q10" s="74"/>
      <c r="R10" s="74"/>
      <c r="S10" s="74"/>
      <c r="T10" s="74"/>
    </row>
    <row r="11" spans="1:20" x14ac:dyDescent="0.2">
      <c r="A11" s="74" t="s">
        <v>42</v>
      </c>
      <c r="B11" s="74" t="s">
        <v>43</v>
      </c>
      <c r="C11" s="74" t="s">
        <v>35</v>
      </c>
      <c r="D11" s="74" t="s">
        <v>44</v>
      </c>
      <c r="E11" s="74" t="s">
        <v>37</v>
      </c>
      <c r="F11" s="74" t="s">
        <v>38</v>
      </c>
      <c r="G11" s="74" t="s">
        <v>47</v>
      </c>
      <c r="H11" s="74" t="s">
        <v>48</v>
      </c>
      <c r="I11" s="74" t="s">
        <v>11</v>
      </c>
      <c r="J11" s="74" t="s">
        <v>20</v>
      </c>
      <c r="K11" s="74" t="s">
        <v>41</v>
      </c>
      <c r="L11" s="74" t="s">
        <v>15</v>
      </c>
      <c r="M11" s="5">
        <v>3362304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42</v>
      </c>
      <c r="B12" s="74" t="s">
        <v>43</v>
      </c>
      <c r="C12" s="74" t="s">
        <v>35</v>
      </c>
      <c r="D12" s="74" t="s">
        <v>44</v>
      </c>
      <c r="E12" s="74" t="s">
        <v>37</v>
      </c>
      <c r="F12" s="74" t="s">
        <v>38</v>
      </c>
      <c r="G12" s="74" t="s">
        <v>47</v>
      </c>
      <c r="H12" s="74" t="s">
        <v>48</v>
      </c>
      <c r="I12" s="74" t="s">
        <v>11</v>
      </c>
      <c r="J12" s="74" t="s">
        <v>20</v>
      </c>
      <c r="K12" s="74" t="s">
        <v>41</v>
      </c>
      <c r="L12" s="74" t="s">
        <v>14</v>
      </c>
      <c r="M12" s="5">
        <v>53186985</v>
      </c>
      <c r="N12" s="5">
        <v>34313698.859999999</v>
      </c>
      <c r="O12" s="5">
        <v>3579686.16</v>
      </c>
      <c r="P12" s="5">
        <v>1882390.46</v>
      </c>
      <c r="Q12" s="74"/>
      <c r="R12" s="74"/>
      <c r="S12" s="74"/>
      <c r="T12" s="74"/>
    </row>
    <row r="13" spans="1:20" x14ac:dyDescent="0.2">
      <c r="A13" s="74" t="s">
        <v>42</v>
      </c>
      <c r="B13" s="74" t="s">
        <v>43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48</v>
      </c>
      <c r="I13" s="74" t="s">
        <v>11</v>
      </c>
      <c r="J13" s="74" t="s">
        <v>21</v>
      </c>
      <c r="K13" s="74" t="s">
        <v>49</v>
      </c>
      <c r="L13" s="74" t="s">
        <v>14</v>
      </c>
      <c r="M13" s="5">
        <v>7243081</v>
      </c>
      <c r="N13" s="5">
        <v>7159159.6799999997</v>
      </c>
      <c r="O13" s="5">
        <v>1119818.46</v>
      </c>
      <c r="P13" s="5">
        <v>813546.6</v>
      </c>
      <c r="Q13" s="74"/>
      <c r="R13" s="74"/>
      <c r="S13" s="74"/>
      <c r="T13" s="74"/>
    </row>
    <row r="14" spans="1:20" x14ac:dyDescent="0.2">
      <c r="A14" s="74" t="s">
        <v>42</v>
      </c>
      <c r="B14" s="74" t="s">
        <v>43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47</v>
      </c>
      <c r="H14" s="74" t="s">
        <v>48</v>
      </c>
      <c r="I14" s="74" t="s">
        <v>11</v>
      </c>
      <c r="J14" s="74" t="s">
        <v>76</v>
      </c>
      <c r="K14" s="74" t="s">
        <v>122</v>
      </c>
      <c r="L14" s="74" t="s">
        <v>15</v>
      </c>
      <c r="M14" s="5">
        <v>3394236</v>
      </c>
      <c r="N14" s="74"/>
      <c r="O14" s="74"/>
      <c r="P14" s="74"/>
      <c r="Q14" s="74"/>
      <c r="R14" s="74"/>
      <c r="S14" s="74"/>
      <c r="T14" s="74"/>
    </row>
    <row r="15" spans="1:20" x14ac:dyDescent="0.2">
      <c r="A15" s="74" t="s">
        <v>42</v>
      </c>
      <c r="B15" s="74" t="s">
        <v>43</v>
      </c>
      <c r="C15" s="74" t="s">
        <v>35</v>
      </c>
      <c r="D15" s="74" t="s">
        <v>51</v>
      </c>
      <c r="E15" s="74" t="s">
        <v>37</v>
      </c>
      <c r="F15" s="74" t="s">
        <v>38</v>
      </c>
      <c r="G15" s="74" t="s">
        <v>138</v>
      </c>
      <c r="H15" s="74" t="s">
        <v>55</v>
      </c>
      <c r="I15" s="74" t="s">
        <v>11</v>
      </c>
      <c r="J15" s="74" t="s">
        <v>20</v>
      </c>
      <c r="K15" s="74" t="s">
        <v>41</v>
      </c>
      <c r="L15" s="74" t="s">
        <v>15</v>
      </c>
      <c r="M15" s="5">
        <v>7000000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42</v>
      </c>
      <c r="B16" s="74" t="s">
        <v>43</v>
      </c>
      <c r="C16" s="74" t="s">
        <v>35</v>
      </c>
      <c r="D16" s="74" t="s">
        <v>51</v>
      </c>
      <c r="E16" s="74" t="s">
        <v>37</v>
      </c>
      <c r="F16" s="74" t="s">
        <v>38</v>
      </c>
      <c r="G16" s="74" t="s">
        <v>154</v>
      </c>
      <c r="H16" s="74" t="s">
        <v>123</v>
      </c>
      <c r="I16" s="74" t="s">
        <v>11</v>
      </c>
      <c r="J16" s="74" t="s">
        <v>76</v>
      </c>
      <c r="K16" s="74" t="s">
        <v>122</v>
      </c>
      <c r="L16" s="74" t="s">
        <v>13</v>
      </c>
      <c r="M16" s="5">
        <v>9000000</v>
      </c>
      <c r="N16" s="74"/>
      <c r="O16" s="74"/>
      <c r="P16" s="74"/>
      <c r="Q16" s="74"/>
      <c r="R16" s="74"/>
      <c r="S16" s="74"/>
      <c r="T16" s="74"/>
    </row>
    <row r="17" spans="1:20" x14ac:dyDescent="0.2">
      <c r="A17" s="74" t="s">
        <v>42</v>
      </c>
      <c r="B17" s="74" t="s">
        <v>43</v>
      </c>
      <c r="C17" s="74" t="s">
        <v>35</v>
      </c>
      <c r="D17" s="74" t="s">
        <v>51</v>
      </c>
      <c r="E17" s="74" t="s">
        <v>37</v>
      </c>
      <c r="F17" s="74" t="s">
        <v>38</v>
      </c>
      <c r="G17" s="74" t="s">
        <v>54</v>
      </c>
      <c r="H17" s="74" t="s">
        <v>150</v>
      </c>
      <c r="I17" s="74" t="s">
        <v>11</v>
      </c>
      <c r="J17" s="74" t="s">
        <v>20</v>
      </c>
      <c r="K17" s="74" t="s">
        <v>41</v>
      </c>
      <c r="L17" s="74" t="s">
        <v>11</v>
      </c>
      <c r="M17" s="5">
        <v>75696682.560000002</v>
      </c>
      <c r="N17" s="5">
        <v>75078164.790000007</v>
      </c>
      <c r="O17" s="5">
        <v>75075928.680000007</v>
      </c>
      <c r="P17" s="5">
        <v>73385485.200000003</v>
      </c>
      <c r="Q17" s="74"/>
      <c r="R17" s="74"/>
      <c r="S17" s="74"/>
      <c r="T17" s="74"/>
    </row>
    <row r="18" spans="1:20" x14ac:dyDescent="0.2">
      <c r="A18" s="74" t="s">
        <v>42</v>
      </c>
      <c r="B18" s="74" t="s">
        <v>43</v>
      </c>
      <c r="C18" s="74" t="s">
        <v>35</v>
      </c>
      <c r="D18" s="74" t="s">
        <v>51</v>
      </c>
      <c r="E18" s="74" t="s">
        <v>37</v>
      </c>
      <c r="F18" s="74" t="s">
        <v>38</v>
      </c>
      <c r="G18" s="74" t="s">
        <v>124</v>
      </c>
      <c r="H18" s="74" t="s">
        <v>118</v>
      </c>
      <c r="I18" s="74" t="s">
        <v>11</v>
      </c>
      <c r="J18" s="74" t="s">
        <v>20</v>
      </c>
      <c r="K18" s="74" t="s">
        <v>41</v>
      </c>
      <c r="L18" s="74" t="s">
        <v>14</v>
      </c>
      <c r="M18" s="5">
        <v>2442858</v>
      </c>
      <c r="N18" s="5">
        <v>373943.88</v>
      </c>
      <c r="O18" s="5">
        <v>373943.88</v>
      </c>
      <c r="P18" s="5">
        <v>373943.88</v>
      </c>
      <c r="Q18" s="74"/>
      <c r="R18" s="74"/>
      <c r="S18" s="74"/>
      <c r="T18" s="74"/>
    </row>
    <row r="19" spans="1:20" x14ac:dyDescent="0.2">
      <c r="A19" s="74" t="s">
        <v>42</v>
      </c>
      <c r="B19" s="74" t="s">
        <v>43</v>
      </c>
      <c r="C19" s="74" t="s">
        <v>35</v>
      </c>
      <c r="D19" s="74" t="s">
        <v>36</v>
      </c>
      <c r="E19" s="74" t="s">
        <v>37</v>
      </c>
      <c r="F19" s="74" t="s">
        <v>38</v>
      </c>
      <c r="G19" s="74" t="s">
        <v>39</v>
      </c>
      <c r="H19" s="74" t="s">
        <v>40</v>
      </c>
      <c r="I19" s="74" t="s">
        <v>11</v>
      </c>
      <c r="J19" s="74" t="s">
        <v>20</v>
      </c>
      <c r="K19" s="74" t="s">
        <v>41</v>
      </c>
      <c r="L19" s="74" t="s">
        <v>15</v>
      </c>
      <c r="M19" s="5">
        <v>658450</v>
      </c>
      <c r="N19" s="74"/>
      <c r="O19" s="74"/>
      <c r="P19" s="74"/>
      <c r="Q19" s="74"/>
      <c r="R19" s="74"/>
      <c r="S19" s="74"/>
      <c r="T19" s="74"/>
    </row>
    <row r="20" spans="1:20" x14ac:dyDescent="0.2">
      <c r="A20" s="74" t="s">
        <v>42</v>
      </c>
      <c r="B20" s="74" t="s">
        <v>43</v>
      </c>
      <c r="C20" s="74" t="s">
        <v>35</v>
      </c>
      <c r="D20" s="74" t="s">
        <v>36</v>
      </c>
      <c r="E20" s="74" t="s">
        <v>37</v>
      </c>
      <c r="F20" s="74" t="s">
        <v>38</v>
      </c>
      <c r="G20" s="74" t="s">
        <v>39</v>
      </c>
      <c r="H20" s="74" t="s">
        <v>40</v>
      </c>
      <c r="I20" s="74" t="s">
        <v>11</v>
      </c>
      <c r="J20" s="74" t="s">
        <v>20</v>
      </c>
      <c r="K20" s="74" t="s">
        <v>41</v>
      </c>
      <c r="L20" s="74" t="s">
        <v>14</v>
      </c>
      <c r="M20" s="5">
        <v>603773</v>
      </c>
      <c r="N20" s="5">
        <v>594734</v>
      </c>
      <c r="O20" s="74"/>
      <c r="P20" s="74"/>
      <c r="Q20" s="74"/>
      <c r="R20" s="74"/>
      <c r="S20" s="74"/>
      <c r="T20" s="74"/>
    </row>
    <row r="21" spans="1:20" x14ac:dyDescent="0.2">
      <c r="A21" s="74" t="s">
        <v>42</v>
      </c>
      <c r="B21" s="74" t="s">
        <v>43</v>
      </c>
      <c r="C21" s="74" t="s">
        <v>35</v>
      </c>
      <c r="D21" s="74" t="s">
        <v>56</v>
      </c>
      <c r="E21" s="74" t="s">
        <v>37</v>
      </c>
      <c r="F21" s="74" t="s">
        <v>38</v>
      </c>
      <c r="G21" s="74" t="s">
        <v>57</v>
      </c>
      <c r="H21" s="74" t="s">
        <v>58</v>
      </c>
      <c r="I21" s="74" t="s">
        <v>11</v>
      </c>
      <c r="J21" s="74" t="s">
        <v>20</v>
      </c>
      <c r="K21" s="74" t="s">
        <v>41</v>
      </c>
      <c r="L21" s="74" t="s">
        <v>14</v>
      </c>
      <c r="M21" s="5">
        <v>560609</v>
      </c>
      <c r="N21" s="5">
        <v>483456.48</v>
      </c>
      <c r="O21" s="5">
        <v>41762.71</v>
      </c>
      <c r="P21" s="5">
        <v>41762.71</v>
      </c>
      <c r="Q21" s="74"/>
      <c r="R21" s="74"/>
      <c r="S21" s="74"/>
      <c r="T21" s="74"/>
    </row>
    <row r="22" spans="1:20" x14ac:dyDescent="0.2">
      <c r="A22" s="74" t="s">
        <v>42</v>
      </c>
      <c r="B22" s="74" t="s">
        <v>43</v>
      </c>
      <c r="C22" s="74" t="s">
        <v>35</v>
      </c>
      <c r="D22" s="74" t="s">
        <v>59</v>
      </c>
      <c r="E22" s="74" t="s">
        <v>37</v>
      </c>
      <c r="F22" s="74" t="s">
        <v>38</v>
      </c>
      <c r="G22" s="74" t="s">
        <v>60</v>
      </c>
      <c r="H22" s="74" t="s">
        <v>61</v>
      </c>
      <c r="I22" s="74" t="s">
        <v>62</v>
      </c>
      <c r="J22" s="74" t="s">
        <v>20</v>
      </c>
      <c r="K22" s="74" t="s">
        <v>41</v>
      </c>
      <c r="L22" s="74" t="s">
        <v>15</v>
      </c>
      <c r="M22" s="5">
        <v>15000</v>
      </c>
      <c r="N22" s="74"/>
      <c r="O22" s="74"/>
      <c r="P22" s="74"/>
      <c r="Q22" s="74"/>
      <c r="R22" s="74"/>
      <c r="S22" s="74"/>
      <c r="T22" s="74"/>
    </row>
    <row r="23" spans="1:20" x14ac:dyDescent="0.2">
      <c r="A23" s="74" t="s">
        <v>42</v>
      </c>
      <c r="B23" s="74" t="s">
        <v>43</v>
      </c>
      <c r="C23" s="74" t="s">
        <v>35</v>
      </c>
      <c r="D23" s="74" t="s">
        <v>59</v>
      </c>
      <c r="E23" s="74" t="s">
        <v>37</v>
      </c>
      <c r="F23" s="74" t="s">
        <v>38</v>
      </c>
      <c r="G23" s="74" t="s">
        <v>60</v>
      </c>
      <c r="H23" s="74" t="s">
        <v>61</v>
      </c>
      <c r="I23" s="74" t="s">
        <v>62</v>
      </c>
      <c r="J23" s="74" t="s">
        <v>20</v>
      </c>
      <c r="K23" s="74" t="s">
        <v>41</v>
      </c>
      <c r="L23" s="74" t="s">
        <v>14</v>
      </c>
      <c r="M23" s="5">
        <v>12111000</v>
      </c>
      <c r="N23" s="5">
        <v>7893400</v>
      </c>
      <c r="O23" s="5">
        <v>1077455.67</v>
      </c>
      <c r="P23" s="5">
        <v>1077455.67</v>
      </c>
      <c r="Q23" s="74"/>
      <c r="R23" s="74"/>
      <c r="S23" s="74"/>
      <c r="T23" s="74"/>
    </row>
    <row r="24" spans="1:20" x14ac:dyDescent="0.2">
      <c r="A24" s="74" t="s">
        <v>42</v>
      </c>
      <c r="B24" s="74" t="s">
        <v>43</v>
      </c>
      <c r="C24" s="74" t="s">
        <v>35</v>
      </c>
      <c r="D24" s="74" t="s">
        <v>63</v>
      </c>
      <c r="E24" s="74" t="s">
        <v>37</v>
      </c>
      <c r="F24" s="74" t="s">
        <v>38</v>
      </c>
      <c r="G24" s="74" t="s">
        <v>155</v>
      </c>
      <c r="H24" s="74" t="s">
        <v>156</v>
      </c>
      <c r="I24" s="74" t="s">
        <v>11</v>
      </c>
      <c r="J24" s="74" t="s">
        <v>20</v>
      </c>
      <c r="K24" s="74" t="s">
        <v>41</v>
      </c>
      <c r="L24" s="74" t="s">
        <v>14</v>
      </c>
      <c r="M24" s="5">
        <v>22987697.920000002</v>
      </c>
      <c r="N24" s="5">
        <v>22987697.920000002</v>
      </c>
      <c r="O24" s="5">
        <v>3751410.45</v>
      </c>
      <c r="P24" s="5">
        <v>3751410.45</v>
      </c>
      <c r="Q24" s="74"/>
      <c r="R24" s="74"/>
      <c r="S24" s="74"/>
      <c r="T24" s="74"/>
    </row>
    <row r="25" spans="1:20" x14ac:dyDescent="0.2">
      <c r="A25" s="74" t="s">
        <v>42</v>
      </c>
      <c r="B25" s="74" t="s">
        <v>43</v>
      </c>
      <c r="C25" s="74" t="s">
        <v>35</v>
      </c>
      <c r="D25" s="74" t="s">
        <v>139</v>
      </c>
      <c r="E25" s="74" t="s">
        <v>37</v>
      </c>
      <c r="F25" s="74" t="s">
        <v>38</v>
      </c>
      <c r="G25" s="74" t="s">
        <v>52</v>
      </c>
      <c r="H25" s="74" t="s">
        <v>53</v>
      </c>
      <c r="I25" s="74" t="s">
        <v>11</v>
      </c>
      <c r="J25" s="74" t="s">
        <v>20</v>
      </c>
      <c r="K25" s="74" t="s">
        <v>41</v>
      </c>
      <c r="L25" s="74" t="s">
        <v>11</v>
      </c>
      <c r="M25" s="5">
        <v>10648289.24</v>
      </c>
      <c r="N25" s="5">
        <v>10648289.24</v>
      </c>
      <c r="O25" s="5">
        <v>10648289.24</v>
      </c>
      <c r="P25" s="5">
        <v>10648289.24</v>
      </c>
      <c r="Q25" s="74"/>
      <c r="R25" s="74"/>
      <c r="S25" s="74"/>
      <c r="T25" s="74"/>
    </row>
    <row r="26" spans="1:20" x14ac:dyDescent="0.2">
      <c r="A26" s="74" t="s">
        <v>42</v>
      </c>
      <c r="B26" s="74" t="s">
        <v>43</v>
      </c>
      <c r="C26" s="74" t="s">
        <v>72</v>
      </c>
      <c r="D26" s="74" t="s">
        <v>73</v>
      </c>
      <c r="E26" s="74" t="s">
        <v>74</v>
      </c>
      <c r="F26" s="74" t="s">
        <v>75</v>
      </c>
      <c r="G26" s="74" t="s">
        <v>76</v>
      </c>
      <c r="H26" s="74" t="s">
        <v>151</v>
      </c>
      <c r="I26" s="74" t="s">
        <v>62</v>
      </c>
      <c r="J26" s="74" t="s">
        <v>19</v>
      </c>
      <c r="K26" s="74" t="s">
        <v>78</v>
      </c>
      <c r="L26" s="74" t="s">
        <v>11</v>
      </c>
      <c r="M26" s="5">
        <v>21353983.920000002</v>
      </c>
      <c r="N26" s="5">
        <v>21353983.920000002</v>
      </c>
      <c r="O26" s="5">
        <v>21353983.920000002</v>
      </c>
      <c r="P26" s="5">
        <v>20848456.350000001</v>
      </c>
      <c r="Q26" s="74"/>
      <c r="R26" s="74"/>
      <c r="S26" s="74"/>
      <c r="T26" s="74"/>
    </row>
    <row r="27" spans="1:20" x14ac:dyDescent="0.2">
      <c r="A27" s="74" t="s">
        <v>42</v>
      </c>
      <c r="B27" s="74" t="s">
        <v>43</v>
      </c>
      <c r="C27" s="74" t="s">
        <v>157</v>
      </c>
      <c r="D27" s="74" t="s">
        <v>139</v>
      </c>
      <c r="E27" s="74" t="s">
        <v>158</v>
      </c>
      <c r="F27" s="74" t="s">
        <v>159</v>
      </c>
      <c r="G27" s="74" t="s">
        <v>160</v>
      </c>
      <c r="H27" s="74" t="s">
        <v>161</v>
      </c>
      <c r="I27" s="74" t="s">
        <v>62</v>
      </c>
      <c r="J27" s="74" t="s">
        <v>20</v>
      </c>
      <c r="K27" s="74" t="s">
        <v>41</v>
      </c>
      <c r="L27" s="74" t="s">
        <v>14</v>
      </c>
      <c r="M27" s="5">
        <v>18684</v>
      </c>
      <c r="N27" s="5">
        <v>18684</v>
      </c>
      <c r="O27" s="5">
        <v>2977.19</v>
      </c>
      <c r="P27" s="5">
        <v>2977.19</v>
      </c>
      <c r="Q27" s="74"/>
      <c r="R27" s="74"/>
      <c r="S27" s="74"/>
      <c r="T27" s="74"/>
    </row>
    <row r="28" spans="1:20" x14ac:dyDescent="0.2">
      <c r="A28"/>
      <c r="B28"/>
      <c r="C28"/>
      <c r="D28"/>
      <c r="E28"/>
      <c r="F28"/>
      <c r="G28"/>
      <c r="H28"/>
      <c r="I28"/>
      <c r="J28"/>
      <c r="K28"/>
      <c r="L28"/>
      <c r="M28" s="5"/>
      <c r="N28" s="5"/>
      <c r="O28" s="5"/>
      <c r="P28" s="5"/>
    </row>
    <row r="29" spans="1:20" x14ac:dyDescent="0.2">
      <c r="A29"/>
      <c r="B29"/>
      <c r="C29"/>
      <c r="D29"/>
      <c r="E29"/>
      <c r="F29"/>
      <c r="G29"/>
      <c r="H29"/>
      <c r="I29"/>
      <c r="J29"/>
      <c r="K29"/>
      <c r="L29"/>
      <c r="M29" s="5">
        <f>SUM(M10:M28)</f>
        <v>230298633.64000005</v>
      </c>
      <c r="N29" s="5">
        <f t="shared" ref="N29:P29" si="0">SUM(N10:N28)</f>
        <v>180920212.77000004</v>
      </c>
      <c r="O29" s="5">
        <f t="shared" si="0"/>
        <v>117025256.36</v>
      </c>
      <c r="P29" s="5">
        <f t="shared" si="0"/>
        <v>112825717.75</v>
      </c>
    </row>
    <row r="30" spans="1:20" x14ac:dyDescent="0.2">
      <c r="A30"/>
      <c r="B30"/>
      <c r="C30"/>
      <c r="D30"/>
      <c r="E30"/>
      <c r="F30"/>
      <c r="G30"/>
      <c r="H30"/>
      <c r="I30"/>
      <c r="J30"/>
      <c r="K30"/>
      <c r="L30"/>
      <c r="M30" s="5"/>
      <c r="N30" s="5"/>
      <c r="O30" s="5"/>
      <c r="P30" s="5"/>
    </row>
    <row r="31" spans="1:20" x14ac:dyDescent="0.2">
      <c r="A31"/>
      <c r="B31"/>
      <c r="C31"/>
      <c r="D31"/>
      <c r="E31"/>
      <c r="F31"/>
      <c r="G31"/>
      <c r="H31"/>
      <c r="I31"/>
      <c r="J31"/>
      <c r="K31"/>
      <c r="L31"/>
      <c r="M31" s="5"/>
      <c r="N31" s="5"/>
      <c r="O31" s="5"/>
      <c r="P31" s="5"/>
    </row>
    <row r="32" spans="1:20" x14ac:dyDescent="0.2">
      <c r="A32"/>
      <c r="B32"/>
      <c r="C32"/>
      <c r="D32"/>
      <c r="E32"/>
      <c r="F32"/>
      <c r="G32"/>
      <c r="H32"/>
      <c r="I32"/>
      <c r="J32"/>
      <c r="K32"/>
      <c r="L32"/>
      <c r="M32" s="5"/>
      <c r="N32" s="5"/>
      <c r="O32" s="5"/>
      <c r="P32" s="5"/>
    </row>
    <row r="33" spans="1:16" x14ac:dyDescent="0.2">
      <c r="A33"/>
      <c r="B33"/>
      <c r="C33"/>
      <c r="D33"/>
      <c r="E33"/>
      <c r="F33"/>
      <c r="G33"/>
      <c r="H33"/>
      <c r="I33"/>
      <c r="J33"/>
      <c r="K33"/>
      <c r="L33"/>
      <c r="M33" s="5"/>
      <c r="N33" s="5"/>
      <c r="O33" s="5"/>
      <c r="P33" s="5"/>
    </row>
    <row r="34" spans="1:16" x14ac:dyDescent="0.2">
      <c r="P34" s="1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A33" sqref="A33:XFD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s="75" t="s">
        <v>120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</row>
    <row r="2" spans="1:16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x14ac:dyDescent="0.2">
      <c r="A3" s="75" t="s">
        <v>121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">
      <c r="A4" s="101" t="s">
        <v>163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s="75" customFormat="1" x14ac:dyDescent="0.2">
      <c r="A10" s="75" t="s">
        <v>42</v>
      </c>
      <c r="B10" s="75" t="s">
        <v>43</v>
      </c>
      <c r="C10" s="75" t="s">
        <v>35</v>
      </c>
      <c r="D10" s="75" t="s">
        <v>44</v>
      </c>
      <c r="E10" s="75" t="s">
        <v>37</v>
      </c>
      <c r="F10" s="75" t="s">
        <v>38</v>
      </c>
      <c r="G10" s="75" t="s">
        <v>45</v>
      </c>
      <c r="H10" s="75" t="s">
        <v>46</v>
      </c>
      <c r="I10" s="75" t="s">
        <v>11</v>
      </c>
      <c r="J10" s="75" t="s">
        <v>20</v>
      </c>
      <c r="K10" s="75" t="s">
        <v>41</v>
      </c>
      <c r="L10" s="75" t="s">
        <v>14</v>
      </c>
      <c r="M10" s="5">
        <v>15000</v>
      </c>
      <c r="N10" s="5">
        <v>15000</v>
      </c>
    </row>
    <row r="11" spans="1:16" s="75" customFormat="1" x14ac:dyDescent="0.2">
      <c r="A11" s="75" t="s">
        <v>42</v>
      </c>
      <c r="B11" s="75" t="s">
        <v>43</v>
      </c>
      <c r="C11" s="75" t="s">
        <v>35</v>
      </c>
      <c r="D11" s="75" t="s">
        <v>44</v>
      </c>
      <c r="E11" s="75" t="s">
        <v>37</v>
      </c>
      <c r="F11" s="75" t="s">
        <v>38</v>
      </c>
      <c r="G11" s="75" t="s">
        <v>47</v>
      </c>
      <c r="H11" s="75" t="s">
        <v>48</v>
      </c>
      <c r="I11" s="75" t="s">
        <v>11</v>
      </c>
      <c r="J11" s="75" t="s">
        <v>20</v>
      </c>
      <c r="K11" s="75" t="s">
        <v>41</v>
      </c>
      <c r="L11" s="75" t="s">
        <v>15</v>
      </c>
      <c r="M11" s="5">
        <v>2749136</v>
      </c>
    </row>
    <row r="12" spans="1:16" s="75" customFormat="1" x14ac:dyDescent="0.2">
      <c r="A12" s="75" t="s">
        <v>42</v>
      </c>
      <c r="B12" s="75" t="s">
        <v>43</v>
      </c>
      <c r="C12" s="75" t="s">
        <v>35</v>
      </c>
      <c r="D12" s="75" t="s">
        <v>44</v>
      </c>
      <c r="E12" s="75" t="s">
        <v>37</v>
      </c>
      <c r="F12" s="75" t="s">
        <v>38</v>
      </c>
      <c r="G12" s="75" t="s">
        <v>47</v>
      </c>
      <c r="H12" s="75" t="s">
        <v>48</v>
      </c>
      <c r="I12" s="75" t="s">
        <v>11</v>
      </c>
      <c r="J12" s="75" t="s">
        <v>20</v>
      </c>
      <c r="K12" s="75" t="s">
        <v>41</v>
      </c>
      <c r="L12" s="75" t="s">
        <v>14</v>
      </c>
      <c r="M12" s="5">
        <v>46555370</v>
      </c>
      <c r="N12" s="5">
        <v>36619925.649999999</v>
      </c>
      <c r="O12" s="5">
        <v>6407288.2800000003</v>
      </c>
      <c r="P12" s="5">
        <v>4945929.55</v>
      </c>
    </row>
    <row r="13" spans="1:16" s="75" customFormat="1" x14ac:dyDescent="0.2">
      <c r="A13" s="75" t="s">
        <v>42</v>
      </c>
      <c r="B13" s="75" t="s">
        <v>43</v>
      </c>
      <c r="C13" s="75" t="s">
        <v>35</v>
      </c>
      <c r="D13" s="75" t="s">
        <v>44</v>
      </c>
      <c r="E13" s="75" t="s">
        <v>37</v>
      </c>
      <c r="F13" s="75" t="s">
        <v>38</v>
      </c>
      <c r="G13" s="75" t="s">
        <v>47</v>
      </c>
      <c r="H13" s="75" t="s">
        <v>48</v>
      </c>
      <c r="I13" s="75" t="s">
        <v>11</v>
      </c>
      <c r="J13" s="75" t="s">
        <v>21</v>
      </c>
      <c r="K13" s="75" t="s">
        <v>49</v>
      </c>
      <c r="L13" s="75" t="s">
        <v>14</v>
      </c>
      <c r="M13" s="5">
        <v>7243081</v>
      </c>
      <c r="N13" s="5">
        <v>7159159.6799999997</v>
      </c>
      <c r="O13" s="5">
        <v>1678632.94</v>
      </c>
      <c r="P13" s="5">
        <v>1372361.08</v>
      </c>
    </row>
    <row r="14" spans="1:16" s="75" customFormat="1" x14ac:dyDescent="0.2">
      <c r="A14" s="75" t="s">
        <v>42</v>
      </c>
      <c r="B14" s="75" t="s">
        <v>43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48</v>
      </c>
      <c r="I14" s="75" t="s">
        <v>11</v>
      </c>
      <c r="J14" s="75" t="s">
        <v>76</v>
      </c>
      <c r="K14" s="75" t="s">
        <v>122</v>
      </c>
      <c r="L14" s="75" t="s">
        <v>15</v>
      </c>
      <c r="M14" s="5">
        <v>3394236</v>
      </c>
    </row>
    <row r="15" spans="1:16" s="75" customFormat="1" x14ac:dyDescent="0.2">
      <c r="A15" s="75" t="s">
        <v>42</v>
      </c>
      <c r="B15" s="75" t="s">
        <v>43</v>
      </c>
      <c r="C15" s="75" t="s">
        <v>35</v>
      </c>
      <c r="D15" s="75" t="s">
        <v>51</v>
      </c>
      <c r="E15" s="75" t="s">
        <v>37</v>
      </c>
      <c r="F15" s="75" t="s">
        <v>38</v>
      </c>
      <c r="G15" s="75" t="s">
        <v>138</v>
      </c>
      <c r="H15" s="75" t="s">
        <v>55</v>
      </c>
      <c r="I15" s="75" t="s">
        <v>11</v>
      </c>
      <c r="J15" s="75" t="s">
        <v>20</v>
      </c>
      <c r="K15" s="75" t="s">
        <v>41</v>
      </c>
      <c r="L15" s="75" t="s">
        <v>15</v>
      </c>
      <c r="M15" s="5">
        <v>7000000</v>
      </c>
    </row>
    <row r="16" spans="1:16" s="75" customFormat="1" x14ac:dyDescent="0.2">
      <c r="A16" s="75" t="s">
        <v>42</v>
      </c>
      <c r="B16" s="75" t="s">
        <v>43</v>
      </c>
      <c r="C16" s="75" t="s">
        <v>35</v>
      </c>
      <c r="D16" s="75" t="s">
        <v>51</v>
      </c>
      <c r="E16" s="75" t="s">
        <v>37</v>
      </c>
      <c r="F16" s="75" t="s">
        <v>38</v>
      </c>
      <c r="G16" s="75" t="s">
        <v>154</v>
      </c>
      <c r="H16" s="75" t="s">
        <v>123</v>
      </c>
      <c r="I16" s="75" t="s">
        <v>11</v>
      </c>
      <c r="J16" s="75" t="s">
        <v>76</v>
      </c>
      <c r="K16" s="75" t="s">
        <v>122</v>
      </c>
      <c r="L16" s="75" t="s">
        <v>13</v>
      </c>
      <c r="M16" s="5">
        <v>9000000</v>
      </c>
    </row>
    <row r="17" spans="1:16" s="75" customFormat="1" x14ac:dyDescent="0.2">
      <c r="A17" s="75" t="s">
        <v>42</v>
      </c>
      <c r="B17" s="75" t="s">
        <v>43</v>
      </c>
      <c r="C17" s="75" t="s">
        <v>35</v>
      </c>
      <c r="D17" s="75" t="s">
        <v>51</v>
      </c>
      <c r="E17" s="75" t="s">
        <v>37</v>
      </c>
      <c r="F17" s="75" t="s">
        <v>38</v>
      </c>
      <c r="G17" s="75" t="s">
        <v>54</v>
      </c>
      <c r="H17" s="75" t="s">
        <v>150</v>
      </c>
      <c r="I17" s="75" t="s">
        <v>11</v>
      </c>
      <c r="J17" s="75" t="s">
        <v>20</v>
      </c>
      <c r="K17" s="75" t="s">
        <v>41</v>
      </c>
      <c r="L17" s="75" t="s">
        <v>11</v>
      </c>
      <c r="M17" s="5">
        <v>105921432.34</v>
      </c>
      <c r="N17" s="5">
        <v>105302914.56999999</v>
      </c>
      <c r="O17" s="5">
        <v>105302914.56999999</v>
      </c>
      <c r="P17" s="5">
        <v>103622052.84</v>
      </c>
    </row>
    <row r="18" spans="1:16" s="75" customFormat="1" x14ac:dyDescent="0.2">
      <c r="A18" s="75" t="s">
        <v>42</v>
      </c>
      <c r="B18" s="75" t="s">
        <v>43</v>
      </c>
      <c r="C18" s="75" t="s">
        <v>35</v>
      </c>
      <c r="D18" s="75" t="s">
        <v>51</v>
      </c>
      <c r="E18" s="75" t="s">
        <v>37</v>
      </c>
      <c r="F18" s="75" t="s">
        <v>38</v>
      </c>
      <c r="G18" s="75" t="s">
        <v>124</v>
      </c>
      <c r="H18" s="75" t="s">
        <v>118</v>
      </c>
      <c r="I18" s="75" t="s">
        <v>11</v>
      </c>
      <c r="J18" s="75" t="s">
        <v>20</v>
      </c>
      <c r="K18" s="75" t="s">
        <v>41</v>
      </c>
      <c r="L18" s="75" t="s">
        <v>14</v>
      </c>
      <c r="M18" s="5">
        <v>2442858</v>
      </c>
      <c r="N18" s="5">
        <v>647988.81000000006</v>
      </c>
      <c r="O18" s="5">
        <v>556155.81000000006</v>
      </c>
      <c r="P18" s="5">
        <v>556155.81000000006</v>
      </c>
    </row>
    <row r="19" spans="1:16" s="75" customFormat="1" x14ac:dyDescent="0.2">
      <c r="A19" s="75" t="s">
        <v>42</v>
      </c>
      <c r="B19" s="75" t="s">
        <v>43</v>
      </c>
      <c r="C19" s="75" t="s">
        <v>35</v>
      </c>
      <c r="D19" s="75" t="s">
        <v>36</v>
      </c>
      <c r="E19" s="75" t="s">
        <v>37</v>
      </c>
      <c r="F19" s="75" t="s">
        <v>38</v>
      </c>
      <c r="G19" s="75" t="s">
        <v>39</v>
      </c>
      <c r="H19" s="75" t="s">
        <v>40</v>
      </c>
      <c r="I19" s="75" t="s">
        <v>11</v>
      </c>
      <c r="J19" s="75" t="s">
        <v>20</v>
      </c>
      <c r="K19" s="75" t="s">
        <v>41</v>
      </c>
      <c r="L19" s="75" t="s">
        <v>15</v>
      </c>
      <c r="M19" s="5">
        <v>658450</v>
      </c>
    </row>
    <row r="20" spans="1:16" s="75" customFormat="1" x14ac:dyDescent="0.2">
      <c r="A20" s="75" t="s">
        <v>42</v>
      </c>
      <c r="B20" s="75" t="s">
        <v>43</v>
      </c>
      <c r="C20" s="75" t="s">
        <v>35</v>
      </c>
      <c r="D20" s="75" t="s">
        <v>36</v>
      </c>
      <c r="E20" s="75" t="s">
        <v>37</v>
      </c>
      <c r="F20" s="75" t="s">
        <v>38</v>
      </c>
      <c r="G20" s="75" t="s">
        <v>39</v>
      </c>
      <c r="H20" s="75" t="s">
        <v>40</v>
      </c>
      <c r="I20" s="75" t="s">
        <v>11</v>
      </c>
      <c r="J20" s="75" t="s">
        <v>20</v>
      </c>
      <c r="K20" s="75" t="s">
        <v>41</v>
      </c>
      <c r="L20" s="75" t="s">
        <v>14</v>
      </c>
      <c r="M20" s="5">
        <v>603773</v>
      </c>
      <c r="N20" s="5">
        <v>594734</v>
      </c>
      <c r="O20" s="5">
        <v>12573.04</v>
      </c>
      <c r="P20" s="5">
        <v>12573.04</v>
      </c>
    </row>
    <row r="21" spans="1:16" s="75" customFormat="1" x14ac:dyDescent="0.2">
      <c r="A21" s="75" t="s">
        <v>42</v>
      </c>
      <c r="B21" s="75" t="s">
        <v>43</v>
      </c>
      <c r="C21" s="75" t="s">
        <v>35</v>
      </c>
      <c r="D21" s="75" t="s">
        <v>56</v>
      </c>
      <c r="E21" s="75" t="s">
        <v>37</v>
      </c>
      <c r="F21" s="75" t="s">
        <v>38</v>
      </c>
      <c r="G21" s="75" t="s">
        <v>57</v>
      </c>
      <c r="H21" s="75" t="s">
        <v>58</v>
      </c>
      <c r="I21" s="75" t="s">
        <v>11</v>
      </c>
      <c r="J21" s="75" t="s">
        <v>20</v>
      </c>
      <c r="K21" s="75" t="s">
        <v>41</v>
      </c>
      <c r="L21" s="75" t="s">
        <v>14</v>
      </c>
      <c r="M21" s="5">
        <v>560609</v>
      </c>
      <c r="N21" s="5">
        <v>483456.48</v>
      </c>
      <c r="O21" s="5">
        <v>83525.42</v>
      </c>
      <c r="P21" s="5">
        <v>41762.71</v>
      </c>
    </row>
    <row r="22" spans="1:16" s="75" customFormat="1" x14ac:dyDescent="0.2">
      <c r="A22" s="75" t="s">
        <v>42</v>
      </c>
      <c r="B22" s="75" t="s">
        <v>43</v>
      </c>
      <c r="C22" s="75" t="s">
        <v>35</v>
      </c>
      <c r="D22" s="75" t="s">
        <v>59</v>
      </c>
      <c r="E22" s="75" t="s">
        <v>37</v>
      </c>
      <c r="F22" s="75" t="s">
        <v>38</v>
      </c>
      <c r="G22" s="75" t="s">
        <v>60</v>
      </c>
      <c r="H22" s="75" t="s">
        <v>61</v>
      </c>
      <c r="I22" s="75" t="s">
        <v>62</v>
      </c>
      <c r="J22" s="75" t="s">
        <v>20</v>
      </c>
      <c r="K22" s="75" t="s">
        <v>41</v>
      </c>
      <c r="L22" s="75" t="s">
        <v>15</v>
      </c>
      <c r="M22" s="5">
        <v>15000</v>
      </c>
    </row>
    <row r="23" spans="1:16" s="75" customFormat="1" x14ac:dyDescent="0.2">
      <c r="A23" s="75" t="s">
        <v>42</v>
      </c>
      <c r="B23" s="75" t="s">
        <v>43</v>
      </c>
      <c r="C23" s="75" t="s">
        <v>35</v>
      </c>
      <c r="D23" s="75" t="s">
        <v>59</v>
      </c>
      <c r="E23" s="75" t="s">
        <v>37</v>
      </c>
      <c r="F23" s="75" t="s">
        <v>38</v>
      </c>
      <c r="G23" s="75" t="s">
        <v>60</v>
      </c>
      <c r="H23" s="75" t="s">
        <v>61</v>
      </c>
      <c r="I23" s="75" t="s">
        <v>62</v>
      </c>
      <c r="J23" s="75" t="s">
        <v>20</v>
      </c>
      <c r="K23" s="75" t="s">
        <v>41</v>
      </c>
      <c r="L23" s="75" t="s">
        <v>14</v>
      </c>
      <c r="M23" s="5">
        <v>12111000</v>
      </c>
      <c r="N23" s="5">
        <v>7893400</v>
      </c>
      <c r="O23" s="5">
        <v>2078386.21</v>
      </c>
      <c r="P23" s="5">
        <v>2078386.21</v>
      </c>
    </row>
    <row r="24" spans="1:16" s="75" customFormat="1" x14ac:dyDescent="0.2">
      <c r="A24" s="75" t="s">
        <v>42</v>
      </c>
      <c r="B24" s="75" t="s">
        <v>43</v>
      </c>
      <c r="C24" s="75" t="s">
        <v>35</v>
      </c>
      <c r="D24" s="75" t="s">
        <v>63</v>
      </c>
      <c r="E24" s="75" t="s">
        <v>37</v>
      </c>
      <c r="F24" s="75" t="s">
        <v>38</v>
      </c>
      <c r="G24" s="75" t="s">
        <v>155</v>
      </c>
      <c r="H24" s="75" t="s">
        <v>156</v>
      </c>
      <c r="I24" s="75" t="s">
        <v>11</v>
      </c>
      <c r="J24" s="75" t="s">
        <v>20</v>
      </c>
      <c r="K24" s="75" t="s">
        <v>41</v>
      </c>
      <c r="L24" s="75" t="s">
        <v>14</v>
      </c>
      <c r="M24" s="5">
        <v>22989016.420000002</v>
      </c>
      <c r="N24" s="5">
        <v>22989016.420000002</v>
      </c>
      <c r="O24" s="5">
        <v>5623016.6500000004</v>
      </c>
      <c r="P24" s="5">
        <v>5623016.6500000004</v>
      </c>
    </row>
    <row r="25" spans="1:16" s="75" customFormat="1" x14ac:dyDescent="0.2">
      <c r="A25" s="75" t="s">
        <v>42</v>
      </c>
      <c r="B25" s="75" t="s">
        <v>43</v>
      </c>
      <c r="C25" s="75" t="s">
        <v>35</v>
      </c>
      <c r="D25" s="75" t="s">
        <v>139</v>
      </c>
      <c r="E25" s="75" t="s">
        <v>37</v>
      </c>
      <c r="F25" s="75" t="s">
        <v>38</v>
      </c>
      <c r="G25" s="75" t="s">
        <v>52</v>
      </c>
      <c r="H25" s="75" t="s">
        <v>53</v>
      </c>
      <c r="I25" s="75" t="s">
        <v>11</v>
      </c>
      <c r="J25" s="75" t="s">
        <v>20</v>
      </c>
      <c r="K25" s="75" t="s">
        <v>41</v>
      </c>
      <c r="L25" s="75" t="s">
        <v>11</v>
      </c>
      <c r="M25" s="5">
        <v>15961796.939999999</v>
      </c>
      <c r="N25" s="5">
        <v>15961796.939999999</v>
      </c>
      <c r="O25" s="5">
        <v>15961796.939999999</v>
      </c>
      <c r="P25" s="5">
        <v>15961796.939999999</v>
      </c>
    </row>
    <row r="26" spans="1:16" s="75" customFormat="1" x14ac:dyDescent="0.2">
      <c r="A26" s="75" t="s">
        <v>42</v>
      </c>
      <c r="B26" s="75" t="s">
        <v>43</v>
      </c>
      <c r="C26" s="75" t="s">
        <v>72</v>
      </c>
      <c r="D26" s="75" t="s">
        <v>73</v>
      </c>
      <c r="E26" s="75" t="s">
        <v>74</v>
      </c>
      <c r="F26" s="75" t="s">
        <v>75</v>
      </c>
      <c r="G26" s="75" t="s">
        <v>76</v>
      </c>
      <c r="H26" s="75" t="s">
        <v>151</v>
      </c>
      <c r="I26" s="75" t="s">
        <v>62</v>
      </c>
      <c r="J26" s="75" t="s">
        <v>19</v>
      </c>
      <c r="K26" s="75" t="s">
        <v>78</v>
      </c>
      <c r="L26" s="75" t="s">
        <v>11</v>
      </c>
      <c r="M26" s="5">
        <v>30150993.66</v>
      </c>
      <c r="N26" s="5">
        <v>30150993.66</v>
      </c>
      <c r="O26" s="5">
        <v>30150993.66</v>
      </c>
      <c r="P26" s="5">
        <v>29644089.16</v>
      </c>
    </row>
    <row r="27" spans="1:16" s="75" customFormat="1" x14ac:dyDescent="0.2">
      <c r="A27" s="75" t="s">
        <v>42</v>
      </c>
      <c r="B27" s="75" t="s">
        <v>43</v>
      </c>
      <c r="C27" s="75" t="s">
        <v>157</v>
      </c>
      <c r="D27" s="75" t="s">
        <v>139</v>
      </c>
      <c r="E27" s="75" t="s">
        <v>158</v>
      </c>
      <c r="F27" s="75" t="s">
        <v>159</v>
      </c>
      <c r="G27" s="75" t="s">
        <v>160</v>
      </c>
      <c r="H27" s="75" t="s">
        <v>161</v>
      </c>
      <c r="I27" s="75" t="s">
        <v>62</v>
      </c>
      <c r="J27" s="75" t="s">
        <v>20</v>
      </c>
      <c r="K27" s="75" t="s">
        <v>41</v>
      </c>
      <c r="L27" s="75" t="s">
        <v>14</v>
      </c>
      <c r="M27" s="5">
        <v>18684</v>
      </c>
      <c r="N27" s="5">
        <v>18684</v>
      </c>
      <c r="O27" s="5">
        <v>4452.6400000000003</v>
      </c>
      <c r="P27" s="5">
        <v>4452.6400000000003</v>
      </c>
    </row>
    <row r="28" spans="1:16" x14ac:dyDescent="0.2">
      <c r="M28" s="5"/>
      <c r="N28" s="5"/>
      <c r="O28" s="5"/>
      <c r="P28" s="5"/>
    </row>
    <row r="29" spans="1:16" x14ac:dyDescent="0.2">
      <c r="M29" s="5"/>
      <c r="N29" s="5"/>
      <c r="O29" s="5"/>
      <c r="P29" s="5"/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5" spans="13:16" x14ac:dyDescent="0.2">
      <c r="M35" s="56">
        <f>SUM(M10:M34)</f>
        <v>267390436.35999998</v>
      </c>
      <c r="N35" s="56">
        <f>SUM(N10:N34)</f>
        <v>227837070.20999995</v>
      </c>
      <c r="O35" s="56">
        <f>SUM(O10:O34)</f>
        <v>167859736.16</v>
      </c>
      <c r="P35" s="56">
        <f>SUM(P10:P34)</f>
        <v>163862576.63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activeCell="A33" sqref="A33:XFD33"/>
    </sheetView>
  </sheetViews>
  <sheetFormatPr defaultRowHeight="12.75" x14ac:dyDescent="0.2"/>
  <cols>
    <col min="13" max="14" width="14" bestFit="1" customWidth="1"/>
    <col min="15" max="16" width="13.85546875" bestFit="1" customWidth="1"/>
  </cols>
  <sheetData>
    <row r="1" spans="1:19" x14ac:dyDescent="0.2">
      <c r="A1" s="76" t="s">
        <v>120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9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9" x14ac:dyDescent="0.2">
      <c r="A3" s="76" t="s">
        <v>121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9" x14ac:dyDescent="0.2">
      <c r="A4" s="101" t="s">
        <v>164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7" spans="1:19" x14ac:dyDescent="0.2">
      <c r="A7" s="76" t="s">
        <v>23</v>
      </c>
      <c r="B7" s="76"/>
      <c r="C7" s="76" t="s">
        <v>24</v>
      </c>
      <c r="D7" s="76" t="s">
        <v>25</v>
      </c>
      <c r="E7" s="76" t="s">
        <v>26</v>
      </c>
      <c r="F7" s="76"/>
      <c r="G7" s="76" t="s">
        <v>27</v>
      </c>
      <c r="H7" s="76"/>
      <c r="I7" s="76" t="s">
        <v>28</v>
      </c>
      <c r="J7" s="76" t="s">
        <v>29</v>
      </c>
      <c r="K7" s="76" t="s">
        <v>30</v>
      </c>
      <c r="L7" s="76" t="s">
        <v>31</v>
      </c>
      <c r="M7" s="76" t="s">
        <v>32</v>
      </c>
      <c r="N7" s="76" t="s">
        <v>125</v>
      </c>
      <c r="O7" s="76" t="s">
        <v>126</v>
      </c>
      <c r="P7" s="76" t="s">
        <v>127</v>
      </c>
    </row>
    <row r="8" spans="1:19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 t="s">
        <v>33</v>
      </c>
      <c r="N8" s="76" t="s">
        <v>128</v>
      </c>
      <c r="O8" s="76" t="s">
        <v>129</v>
      </c>
      <c r="P8" s="76" t="s">
        <v>130</v>
      </c>
    </row>
    <row r="9" spans="1:19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 t="s">
        <v>34</v>
      </c>
      <c r="M9" s="76" t="s">
        <v>131</v>
      </c>
      <c r="N9" s="76" t="s">
        <v>131</v>
      </c>
      <c r="O9" s="76" t="s">
        <v>131</v>
      </c>
      <c r="P9" s="76" t="s">
        <v>131</v>
      </c>
    </row>
    <row r="10" spans="1:19" x14ac:dyDescent="0.2">
      <c r="A10" s="76" t="s">
        <v>42</v>
      </c>
      <c r="B10" s="76" t="s">
        <v>43</v>
      </c>
      <c r="C10" s="76" t="s">
        <v>35</v>
      </c>
      <c r="D10" s="76" t="s">
        <v>44</v>
      </c>
      <c r="E10" s="76" t="s">
        <v>37</v>
      </c>
      <c r="F10" s="76" t="s">
        <v>38</v>
      </c>
      <c r="G10" s="76" t="s">
        <v>45</v>
      </c>
      <c r="H10" s="76" t="s">
        <v>46</v>
      </c>
      <c r="I10" s="76" t="s">
        <v>11</v>
      </c>
      <c r="J10" s="76" t="s">
        <v>20</v>
      </c>
      <c r="K10" s="76" t="s">
        <v>41</v>
      </c>
      <c r="L10" s="76" t="s">
        <v>14</v>
      </c>
      <c r="M10" s="5">
        <v>15000</v>
      </c>
      <c r="N10" s="5">
        <v>15000</v>
      </c>
      <c r="O10" s="76"/>
      <c r="P10" s="76"/>
      <c r="Q10" s="76"/>
      <c r="R10" s="76"/>
      <c r="S10" s="76"/>
    </row>
    <row r="11" spans="1:19" x14ac:dyDescent="0.2">
      <c r="A11" s="76" t="s">
        <v>42</v>
      </c>
      <c r="B11" s="76" t="s">
        <v>43</v>
      </c>
      <c r="C11" s="76" t="s">
        <v>35</v>
      </c>
      <c r="D11" s="76" t="s">
        <v>44</v>
      </c>
      <c r="E11" s="76" t="s">
        <v>37</v>
      </c>
      <c r="F11" s="76" t="s">
        <v>38</v>
      </c>
      <c r="G11" s="76" t="s">
        <v>47</v>
      </c>
      <c r="H11" s="76" t="s">
        <v>48</v>
      </c>
      <c r="I11" s="76" t="s">
        <v>11</v>
      </c>
      <c r="J11" s="76" t="s">
        <v>20</v>
      </c>
      <c r="K11" s="76" t="s">
        <v>41</v>
      </c>
      <c r="L11" s="76" t="s">
        <v>15</v>
      </c>
      <c r="M11" s="5">
        <v>2749136</v>
      </c>
      <c r="N11" s="76"/>
      <c r="O11" s="76"/>
      <c r="P11" s="76"/>
      <c r="Q11" s="76"/>
      <c r="R11" s="76"/>
      <c r="S11" s="76"/>
    </row>
    <row r="12" spans="1:19" x14ac:dyDescent="0.2">
      <c r="A12" s="76" t="s">
        <v>42</v>
      </c>
      <c r="B12" s="76" t="s">
        <v>43</v>
      </c>
      <c r="C12" s="76" t="s">
        <v>35</v>
      </c>
      <c r="D12" s="76" t="s">
        <v>44</v>
      </c>
      <c r="E12" s="76" t="s">
        <v>37</v>
      </c>
      <c r="F12" s="76" t="s">
        <v>38</v>
      </c>
      <c r="G12" s="76" t="s">
        <v>47</v>
      </c>
      <c r="H12" s="76" t="s">
        <v>48</v>
      </c>
      <c r="I12" s="76" t="s">
        <v>11</v>
      </c>
      <c r="J12" s="76" t="s">
        <v>20</v>
      </c>
      <c r="K12" s="76" t="s">
        <v>41</v>
      </c>
      <c r="L12" s="76" t="s">
        <v>14</v>
      </c>
      <c r="M12" s="5">
        <v>53175037.859999999</v>
      </c>
      <c r="N12" s="5">
        <v>36569164.75</v>
      </c>
      <c r="O12" s="5">
        <v>9802637.6400000006</v>
      </c>
      <c r="P12" s="5">
        <v>8199051.0999999996</v>
      </c>
      <c r="Q12" s="76"/>
      <c r="R12" s="76"/>
      <c r="S12" s="76"/>
    </row>
    <row r="13" spans="1:19" x14ac:dyDescent="0.2">
      <c r="A13" s="76" t="s">
        <v>42</v>
      </c>
      <c r="B13" s="76" t="s">
        <v>43</v>
      </c>
      <c r="C13" s="76" t="s">
        <v>35</v>
      </c>
      <c r="D13" s="76" t="s">
        <v>44</v>
      </c>
      <c r="E13" s="76" t="s">
        <v>37</v>
      </c>
      <c r="F13" s="76" t="s">
        <v>38</v>
      </c>
      <c r="G13" s="76" t="s">
        <v>47</v>
      </c>
      <c r="H13" s="76" t="s">
        <v>48</v>
      </c>
      <c r="I13" s="76" t="s">
        <v>11</v>
      </c>
      <c r="J13" s="76" t="s">
        <v>21</v>
      </c>
      <c r="K13" s="76" t="s">
        <v>49</v>
      </c>
      <c r="L13" s="76" t="s">
        <v>14</v>
      </c>
      <c r="M13" s="5">
        <v>7243081</v>
      </c>
      <c r="N13" s="5">
        <v>7159159.6799999997</v>
      </c>
      <c r="O13" s="5">
        <v>2270759.88</v>
      </c>
      <c r="P13" s="5">
        <v>1964488.02</v>
      </c>
      <c r="Q13" s="76"/>
      <c r="R13" s="76"/>
      <c r="S13" s="76"/>
    </row>
    <row r="14" spans="1:19" x14ac:dyDescent="0.2">
      <c r="A14" s="76" t="s">
        <v>42</v>
      </c>
      <c r="B14" s="76" t="s">
        <v>43</v>
      </c>
      <c r="C14" s="76" t="s">
        <v>35</v>
      </c>
      <c r="D14" s="76" t="s">
        <v>44</v>
      </c>
      <c r="E14" s="76" t="s">
        <v>37</v>
      </c>
      <c r="F14" s="76" t="s">
        <v>38</v>
      </c>
      <c r="G14" s="76" t="s">
        <v>47</v>
      </c>
      <c r="H14" s="76" t="s">
        <v>48</v>
      </c>
      <c r="I14" s="76" t="s">
        <v>11</v>
      </c>
      <c r="J14" s="76" t="s">
        <v>76</v>
      </c>
      <c r="K14" s="76" t="s">
        <v>122</v>
      </c>
      <c r="L14" s="76" t="s">
        <v>15</v>
      </c>
      <c r="M14" s="5">
        <v>3394236</v>
      </c>
      <c r="N14" s="76"/>
      <c r="O14" s="76"/>
      <c r="P14" s="76"/>
      <c r="Q14" s="76"/>
      <c r="R14" s="76"/>
      <c r="S14" s="76"/>
    </row>
    <row r="15" spans="1:19" x14ac:dyDescent="0.2">
      <c r="A15" s="76" t="s">
        <v>42</v>
      </c>
      <c r="B15" s="76" t="s">
        <v>43</v>
      </c>
      <c r="C15" s="76" t="s">
        <v>35</v>
      </c>
      <c r="D15" s="76" t="s">
        <v>51</v>
      </c>
      <c r="E15" s="76" t="s">
        <v>37</v>
      </c>
      <c r="F15" s="76" t="s">
        <v>38</v>
      </c>
      <c r="G15" s="76" t="s">
        <v>138</v>
      </c>
      <c r="H15" s="76" t="s">
        <v>55</v>
      </c>
      <c r="I15" s="76" t="s">
        <v>11</v>
      </c>
      <c r="J15" s="76" t="s">
        <v>20</v>
      </c>
      <c r="K15" s="76" t="s">
        <v>41</v>
      </c>
      <c r="L15" s="76" t="s">
        <v>15</v>
      </c>
      <c r="M15" s="5">
        <v>7000000</v>
      </c>
      <c r="N15" s="76"/>
      <c r="O15" s="76"/>
      <c r="P15" s="76"/>
      <c r="Q15" s="76"/>
      <c r="R15" s="76"/>
      <c r="S15" s="76"/>
    </row>
    <row r="16" spans="1:19" x14ac:dyDescent="0.2">
      <c r="A16" s="76" t="s">
        <v>42</v>
      </c>
      <c r="B16" s="76" t="s">
        <v>43</v>
      </c>
      <c r="C16" s="76" t="s">
        <v>35</v>
      </c>
      <c r="D16" s="76" t="s">
        <v>51</v>
      </c>
      <c r="E16" s="76" t="s">
        <v>37</v>
      </c>
      <c r="F16" s="76" t="s">
        <v>38</v>
      </c>
      <c r="G16" s="76" t="s">
        <v>154</v>
      </c>
      <c r="H16" s="76" t="s">
        <v>123</v>
      </c>
      <c r="I16" s="76" t="s">
        <v>11</v>
      </c>
      <c r="J16" s="76" t="s">
        <v>76</v>
      </c>
      <c r="K16" s="76" t="s">
        <v>122</v>
      </c>
      <c r="L16" s="76" t="s">
        <v>13</v>
      </c>
      <c r="M16" s="5">
        <v>9000000</v>
      </c>
      <c r="N16" s="76"/>
      <c r="O16" s="76"/>
      <c r="P16" s="76"/>
      <c r="Q16" s="76"/>
      <c r="R16" s="76"/>
      <c r="S16" s="76"/>
    </row>
    <row r="17" spans="1:19" x14ac:dyDescent="0.2">
      <c r="A17" s="76" t="s">
        <v>42</v>
      </c>
      <c r="B17" s="76" t="s">
        <v>43</v>
      </c>
      <c r="C17" s="76" t="s">
        <v>35</v>
      </c>
      <c r="D17" s="76" t="s">
        <v>51</v>
      </c>
      <c r="E17" s="76" t="s">
        <v>37</v>
      </c>
      <c r="F17" s="76" t="s">
        <v>38</v>
      </c>
      <c r="G17" s="76" t="s">
        <v>54</v>
      </c>
      <c r="H17" s="76" t="s">
        <v>150</v>
      </c>
      <c r="I17" s="76" t="s">
        <v>11</v>
      </c>
      <c r="J17" s="76" t="s">
        <v>20</v>
      </c>
      <c r="K17" s="76" t="s">
        <v>41</v>
      </c>
      <c r="L17" s="76" t="s">
        <v>11</v>
      </c>
      <c r="M17" s="5">
        <v>135868717.65000001</v>
      </c>
      <c r="N17" s="5">
        <v>135250199.88</v>
      </c>
      <c r="O17" s="5">
        <v>135240536.44</v>
      </c>
      <c r="P17" s="5">
        <v>133563982.05</v>
      </c>
      <c r="Q17" s="76"/>
      <c r="R17" s="76"/>
      <c r="S17" s="76"/>
    </row>
    <row r="18" spans="1:19" x14ac:dyDescent="0.2">
      <c r="A18" s="76" t="s">
        <v>42</v>
      </c>
      <c r="B18" s="76" t="s">
        <v>43</v>
      </c>
      <c r="C18" s="76" t="s">
        <v>35</v>
      </c>
      <c r="D18" s="76" t="s">
        <v>51</v>
      </c>
      <c r="E18" s="76" t="s">
        <v>37</v>
      </c>
      <c r="F18" s="76" t="s">
        <v>38</v>
      </c>
      <c r="G18" s="76" t="s">
        <v>124</v>
      </c>
      <c r="H18" s="76" t="s">
        <v>118</v>
      </c>
      <c r="I18" s="76" t="s">
        <v>11</v>
      </c>
      <c r="J18" s="76" t="s">
        <v>20</v>
      </c>
      <c r="K18" s="76" t="s">
        <v>41</v>
      </c>
      <c r="L18" s="76" t="s">
        <v>14</v>
      </c>
      <c r="M18" s="5">
        <v>2442858</v>
      </c>
      <c r="N18" s="5">
        <v>834188.26</v>
      </c>
      <c r="O18" s="5">
        <v>745655.26</v>
      </c>
      <c r="P18" s="5">
        <v>745655.26</v>
      </c>
      <c r="Q18" s="76"/>
      <c r="R18" s="76"/>
      <c r="S18" s="76"/>
    </row>
    <row r="19" spans="1:19" x14ac:dyDescent="0.2">
      <c r="A19" s="76" t="s">
        <v>42</v>
      </c>
      <c r="B19" s="76" t="s">
        <v>43</v>
      </c>
      <c r="C19" s="76" t="s">
        <v>35</v>
      </c>
      <c r="D19" s="76" t="s">
        <v>36</v>
      </c>
      <c r="E19" s="76" t="s">
        <v>37</v>
      </c>
      <c r="F19" s="76" t="s">
        <v>38</v>
      </c>
      <c r="G19" s="76" t="s">
        <v>39</v>
      </c>
      <c r="H19" s="76" t="s">
        <v>40</v>
      </c>
      <c r="I19" s="76" t="s">
        <v>11</v>
      </c>
      <c r="J19" s="76" t="s">
        <v>20</v>
      </c>
      <c r="K19" s="76" t="s">
        <v>41</v>
      </c>
      <c r="L19" s="76" t="s">
        <v>15</v>
      </c>
      <c r="M19" s="5">
        <v>658450</v>
      </c>
      <c r="N19" s="76"/>
      <c r="O19" s="76"/>
      <c r="P19" s="76"/>
      <c r="Q19" s="76"/>
      <c r="R19" s="76"/>
      <c r="S19" s="76"/>
    </row>
    <row r="20" spans="1:19" x14ac:dyDescent="0.2">
      <c r="A20" s="76" t="s">
        <v>42</v>
      </c>
      <c r="B20" s="76" t="s">
        <v>43</v>
      </c>
      <c r="C20" s="76" t="s">
        <v>35</v>
      </c>
      <c r="D20" s="76" t="s">
        <v>36</v>
      </c>
      <c r="E20" s="76" t="s">
        <v>37</v>
      </c>
      <c r="F20" s="76" t="s">
        <v>38</v>
      </c>
      <c r="G20" s="76" t="s">
        <v>39</v>
      </c>
      <c r="H20" s="76" t="s">
        <v>40</v>
      </c>
      <c r="I20" s="76" t="s">
        <v>11</v>
      </c>
      <c r="J20" s="76" t="s">
        <v>20</v>
      </c>
      <c r="K20" s="76" t="s">
        <v>41</v>
      </c>
      <c r="L20" s="76" t="s">
        <v>14</v>
      </c>
      <c r="M20" s="5">
        <v>603773</v>
      </c>
      <c r="N20" s="5">
        <v>594734</v>
      </c>
      <c r="O20" s="5">
        <v>39614.870000000003</v>
      </c>
      <c r="P20" s="5">
        <v>38073.94</v>
      </c>
      <c r="Q20" s="76"/>
      <c r="R20" s="76"/>
      <c r="S20" s="76"/>
    </row>
    <row r="21" spans="1:19" x14ac:dyDescent="0.2">
      <c r="A21" s="76" t="s">
        <v>42</v>
      </c>
      <c r="B21" s="76" t="s">
        <v>43</v>
      </c>
      <c r="C21" s="76" t="s">
        <v>35</v>
      </c>
      <c r="D21" s="76" t="s">
        <v>56</v>
      </c>
      <c r="E21" s="76" t="s">
        <v>37</v>
      </c>
      <c r="F21" s="76" t="s">
        <v>38</v>
      </c>
      <c r="G21" s="76" t="s">
        <v>57</v>
      </c>
      <c r="H21" s="76" t="s">
        <v>58</v>
      </c>
      <c r="I21" s="76" t="s">
        <v>11</v>
      </c>
      <c r="J21" s="76" t="s">
        <v>20</v>
      </c>
      <c r="K21" s="76" t="s">
        <v>41</v>
      </c>
      <c r="L21" s="76" t="s">
        <v>14</v>
      </c>
      <c r="M21" s="5">
        <v>560609</v>
      </c>
      <c r="N21" s="5">
        <v>483456.48</v>
      </c>
      <c r="O21" s="5">
        <v>125288.13</v>
      </c>
      <c r="P21" s="5">
        <v>125288.13</v>
      </c>
      <c r="Q21" s="76"/>
      <c r="R21" s="76"/>
      <c r="S21" s="76"/>
    </row>
    <row r="22" spans="1:19" x14ac:dyDescent="0.2">
      <c r="A22" s="76" t="s">
        <v>42</v>
      </c>
      <c r="B22" s="76" t="s">
        <v>43</v>
      </c>
      <c r="C22" s="76" t="s">
        <v>35</v>
      </c>
      <c r="D22" s="76" t="s">
        <v>59</v>
      </c>
      <c r="E22" s="76" t="s">
        <v>37</v>
      </c>
      <c r="F22" s="76" t="s">
        <v>38</v>
      </c>
      <c r="G22" s="76" t="s">
        <v>60</v>
      </c>
      <c r="H22" s="76" t="s">
        <v>61</v>
      </c>
      <c r="I22" s="76" t="s">
        <v>62</v>
      </c>
      <c r="J22" s="76" t="s">
        <v>20</v>
      </c>
      <c r="K22" s="76" t="s">
        <v>41</v>
      </c>
      <c r="L22" s="76" t="s">
        <v>15</v>
      </c>
      <c r="M22" s="5">
        <v>15000</v>
      </c>
      <c r="N22" s="76"/>
      <c r="O22" s="76"/>
      <c r="P22" s="76"/>
      <c r="Q22" s="76"/>
      <c r="R22" s="76"/>
      <c r="S22" s="76"/>
    </row>
    <row r="23" spans="1:19" x14ac:dyDescent="0.2">
      <c r="A23" s="76" t="s">
        <v>42</v>
      </c>
      <c r="B23" s="76" t="s">
        <v>43</v>
      </c>
      <c r="C23" s="76" t="s">
        <v>35</v>
      </c>
      <c r="D23" s="76" t="s">
        <v>59</v>
      </c>
      <c r="E23" s="76" t="s">
        <v>37</v>
      </c>
      <c r="F23" s="76" t="s">
        <v>38</v>
      </c>
      <c r="G23" s="76" t="s">
        <v>60</v>
      </c>
      <c r="H23" s="76" t="s">
        <v>61</v>
      </c>
      <c r="I23" s="76" t="s">
        <v>62</v>
      </c>
      <c r="J23" s="76" t="s">
        <v>20</v>
      </c>
      <c r="K23" s="76" t="s">
        <v>41</v>
      </c>
      <c r="L23" s="76" t="s">
        <v>14</v>
      </c>
      <c r="M23" s="5">
        <v>12294825</v>
      </c>
      <c r="N23" s="5">
        <v>7893400</v>
      </c>
      <c r="O23" s="5">
        <v>3077494.39</v>
      </c>
      <c r="P23" s="5">
        <v>3077494.39</v>
      </c>
      <c r="Q23" s="76"/>
      <c r="R23" s="76"/>
      <c r="S23" s="76"/>
    </row>
    <row r="24" spans="1:19" x14ac:dyDescent="0.2">
      <c r="A24" s="76" t="s">
        <v>42</v>
      </c>
      <c r="B24" s="76" t="s">
        <v>43</v>
      </c>
      <c r="C24" s="76" t="s">
        <v>35</v>
      </c>
      <c r="D24" s="76" t="s">
        <v>63</v>
      </c>
      <c r="E24" s="76" t="s">
        <v>37</v>
      </c>
      <c r="F24" s="76" t="s">
        <v>38</v>
      </c>
      <c r="G24" s="76" t="s">
        <v>155</v>
      </c>
      <c r="H24" s="76" t="s">
        <v>156</v>
      </c>
      <c r="I24" s="76" t="s">
        <v>11</v>
      </c>
      <c r="J24" s="76" t="s">
        <v>20</v>
      </c>
      <c r="K24" s="76" t="s">
        <v>41</v>
      </c>
      <c r="L24" s="76" t="s">
        <v>14</v>
      </c>
      <c r="M24" s="5">
        <v>22990334.920000002</v>
      </c>
      <c r="N24" s="5">
        <v>22990334.920000002</v>
      </c>
      <c r="O24" s="5">
        <v>7474697.1900000004</v>
      </c>
      <c r="P24" s="5">
        <v>7474697.1900000004</v>
      </c>
      <c r="Q24" s="76"/>
      <c r="R24" s="76"/>
      <c r="S24" s="76"/>
    </row>
    <row r="25" spans="1:19" x14ac:dyDescent="0.2">
      <c r="A25" s="76" t="s">
        <v>42</v>
      </c>
      <c r="B25" s="76" t="s">
        <v>43</v>
      </c>
      <c r="C25" s="76" t="s">
        <v>35</v>
      </c>
      <c r="D25" s="76" t="s">
        <v>139</v>
      </c>
      <c r="E25" s="76" t="s">
        <v>37</v>
      </c>
      <c r="F25" s="76" t="s">
        <v>38</v>
      </c>
      <c r="G25" s="76" t="s">
        <v>52</v>
      </c>
      <c r="H25" s="76" t="s">
        <v>53</v>
      </c>
      <c r="I25" s="76" t="s">
        <v>11</v>
      </c>
      <c r="J25" s="76" t="s">
        <v>20</v>
      </c>
      <c r="K25" s="76" t="s">
        <v>41</v>
      </c>
      <c r="L25" s="76" t="s">
        <v>11</v>
      </c>
      <c r="M25" s="5">
        <v>21237490.359999999</v>
      </c>
      <c r="N25" s="5">
        <v>21237490.359999999</v>
      </c>
      <c r="O25" s="5">
        <v>21237490.359999999</v>
      </c>
      <c r="P25" s="5">
        <v>21237490.359999999</v>
      </c>
      <c r="Q25" s="76"/>
      <c r="R25" s="76"/>
      <c r="S25" s="76"/>
    </row>
    <row r="26" spans="1:19" x14ac:dyDescent="0.2">
      <c r="A26" s="76" t="s">
        <v>42</v>
      </c>
      <c r="B26" s="76" t="s">
        <v>43</v>
      </c>
      <c r="C26" s="76" t="s">
        <v>72</v>
      </c>
      <c r="D26" s="76" t="s">
        <v>73</v>
      </c>
      <c r="E26" s="76" t="s">
        <v>74</v>
      </c>
      <c r="F26" s="76" t="s">
        <v>75</v>
      </c>
      <c r="G26" s="76" t="s">
        <v>76</v>
      </c>
      <c r="H26" s="76" t="s">
        <v>151</v>
      </c>
      <c r="I26" s="76" t="s">
        <v>62</v>
      </c>
      <c r="J26" s="76" t="s">
        <v>19</v>
      </c>
      <c r="K26" s="76" t="s">
        <v>78</v>
      </c>
      <c r="L26" s="76" t="s">
        <v>11</v>
      </c>
      <c r="M26" s="5">
        <v>38985738.700000003</v>
      </c>
      <c r="N26" s="5">
        <v>38985738.700000003</v>
      </c>
      <c r="O26" s="5">
        <v>38985738.700000003</v>
      </c>
      <c r="P26" s="5">
        <v>38476096.829999998</v>
      </c>
      <c r="Q26" s="76"/>
      <c r="R26" s="76"/>
      <c r="S26" s="76"/>
    </row>
    <row r="27" spans="1:19" x14ac:dyDescent="0.2">
      <c r="A27" s="76" t="s">
        <v>42</v>
      </c>
      <c r="B27" s="76" t="s">
        <v>43</v>
      </c>
      <c r="C27" s="76" t="s">
        <v>157</v>
      </c>
      <c r="D27" s="76" t="s">
        <v>139</v>
      </c>
      <c r="E27" s="76" t="s">
        <v>158</v>
      </c>
      <c r="F27" s="76" t="s">
        <v>159</v>
      </c>
      <c r="G27" s="76" t="s">
        <v>160</v>
      </c>
      <c r="H27" s="76" t="s">
        <v>161</v>
      </c>
      <c r="I27" s="76" t="s">
        <v>62</v>
      </c>
      <c r="J27" s="76" t="s">
        <v>20</v>
      </c>
      <c r="K27" s="76" t="s">
        <v>41</v>
      </c>
      <c r="L27" s="76" t="s">
        <v>14</v>
      </c>
      <c r="M27" s="5">
        <v>18684</v>
      </c>
      <c r="N27" s="5">
        <v>18684</v>
      </c>
      <c r="O27" s="5">
        <v>5928.09</v>
      </c>
      <c r="P27" s="5">
        <v>5928.09</v>
      </c>
      <c r="Q27" s="76"/>
      <c r="R27" s="76"/>
      <c r="S27" s="76"/>
    </row>
    <row r="28" spans="1:19" x14ac:dyDescent="0.2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</row>
    <row r="29" spans="1:19" x14ac:dyDescent="0.2">
      <c r="M29" s="5">
        <f>SUM(M10:M28)</f>
        <v>318252971.49000001</v>
      </c>
      <c r="N29" s="5">
        <f t="shared" ref="N29:P29" si="0">SUM(N10:N28)</f>
        <v>272031551.02999997</v>
      </c>
      <c r="O29" s="5">
        <f t="shared" si="0"/>
        <v>219005840.94999996</v>
      </c>
      <c r="P29" s="5">
        <f t="shared" si="0"/>
        <v>214908245.35999992</v>
      </c>
    </row>
    <row r="30" spans="1:19" x14ac:dyDescent="0.2">
      <c r="M30" s="5"/>
      <c r="N30" s="5"/>
      <c r="O30" s="5"/>
      <c r="P30" s="5"/>
    </row>
    <row r="31" spans="1:19" x14ac:dyDescent="0.2">
      <c r="M31" s="5"/>
      <c r="N31" s="5"/>
      <c r="O31" s="5"/>
      <c r="P31" s="5"/>
    </row>
    <row r="32" spans="1:19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6"/>
      <c r="N34" s="56"/>
      <c r="O34" s="56"/>
      <c r="P34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A33" sqref="A33:XFD33"/>
    </sheetView>
  </sheetViews>
  <sheetFormatPr defaultRowHeight="12.75" x14ac:dyDescent="0.2"/>
  <cols>
    <col min="13" max="16" width="14.28515625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101" t="s">
        <v>165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10.5" customHeight="1" x14ac:dyDescent="0.2"/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s="77" t="s">
        <v>42</v>
      </c>
      <c r="B10" s="77" t="s">
        <v>43</v>
      </c>
      <c r="C10" s="77" t="s">
        <v>35</v>
      </c>
      <c r="D10" s="77" t="s">
        <v>44</v>
      </c>
      <c r="E10" s="77" t="s">
        <v>37</v>
      </c>
      <c r="F10" s="77" t="s">
        <v>38</v>
      </c>
      <c r="G10" s="77" t="s">
        <v>45</v>
      </c>
      <c r="H10" s="77" t="s">
        <v>46</v>
      </c>
      <c r="I10" s="77" t="s">
        <v>11</v>
      </c>
      <c r="J10" s="77" t="s">
        <v>20</v>
      </c>
      <c r="K10" s="77" t="s">
        <v>41</v>
      </c>
      <c r="L10" s="77" t="s">
        <v>14</v>
      </c>
      <c r="M10" s="5">
        <v>15000</v>
      </c>
      <c r="N10" s="5">
        <v>15000</v>
      </c>
      <c r="O10" s="77"/>
      <c r="P10" s="77"/>
    </row>
    <row r="11" spans="1:16" x14ac:dyDescent="0.2">
      <c r="A11" s="77" t="s">
        <v>42</v>
      </c>
      <c r="B11" s="77" t="s">
        <v>43</v>
      </c>
      <c r="C11" s="77" t="s">
        <v>35</v>
      </c>
      <c r="D11" s="77" t="s">
        <v>44</v>
      </c>
      <c r="E11" s="77" t="s">
        <v>37</v>
      </c>
      <c r="F11" s="77" t="s">
        <v>38</v>
      </c>
      <c r="G11" s="77" t="s">
        <v>47</v>
      </c>
      <c r="H11" s="77" t="s">
        <v>48</v>
      </c>
      <c r="I11" s="77" t="s">
        <v>11</v>
      </c>
      <c r="J11" s="77" t="s">
        <v>20</v>
      </c>
      <c r="K11" s="77" t="s">
        <v>41</v>
      </c>
      <c r="L11" s="77" t="s">
        <v>15</v>
      </c>
      <c r="M11" s="5">
        <v>2601136</v>
      </c>
      <c r="N11" s="5">
        <v>47784.28</v>
      </c>
      <c r="O11" s="77"/>
      <c r="P11" s="77"/>
    </row>
    <row r="12" spans="1:16" x14ac:dyDescent="0.2">
      <c r="A12" s="77" t="s">
        <v>42</v>
      </c>
      <c r="B12" s="77" t="s">
        <v>43</v>
      </c>
      <c r="C12" s="77" t="s">
        <v>35</v>
      </c>
      <c r="D12" s="77" t="s">
        <v>44</v>
      </c>
      <c r="E12" s="77" t="s">
        <v>37</v>
      </c>
      <c r="F12" s="77" t="s">
        <v>38</v>
      </c>
      <c r="G12" s="77" t="s">
        <v>47</v>
      </c>
      <c r="H12" s="77" t="s">
        <v>48</v>
      </c>
      <c r="I12" s="77" t="s">
        <v>11</v>
      </c>
      <c r="J12" s="77" t="s">
        <v>20</v>
      </c>
      <c r="K12" s="77" t="s">
        <v>41</v>
      </c>
      <c r="L12" s="77" t="s">
        <v>14</v>
      </c>
      <c r="M12" s="5">
        <v>52719682</v>
      </c>
      <c r="N12" s="5">
        <v>37081545.689999998</v>
      </c>
      <c r="O12" s="5">
        <v>12899812.869999999</v>
      </c>
      <c r="P12" s="5">
        <v>11898443.83</v>
      </c>
    </row>
    <row r="13" spans="1:16" x14ac:dyDescent="0.2">
      <c r="A13" s="77" t="s">
        <v>42</v>
      </c>
      <c r="B13" s="77" t="s">
        <v>43</v>
      </c>
      <c r="C13" s="77" t="s">
        <v>35</v>
      </c>
      <c r="D13" s="77" t="s">
        <v>44</v>
      </c>
      <c r="E13" s="77" t="s">
        <v>37</v>
      </c>
      <c r="F13" s="77" t="s">
        <v>38</v>
      </c>
      <c r="G13" s="77" t="s">
        <v>47</v>
      </c>
      <c r="H13" s="77" t="s">
        <v>48</v>
      </c>
      <c r="I13" s="77" t="s">
        <v>11</v>
      </c>
      <c r="J13" s="77" t="s">
        <v>21</v>
      </c>
      <c r="K13" s="77" t="s">
        <v>49</v>
      </c>
      <c r="L13" s="77" t="s">
        <v>14</v>
      </c>
      <c r="M13" s="5">
        <v>7243081</v>
      </c>
      <c r="N13" s="5">
        <v>7159159.6799999997</v>
      </c>
      <c r="O13" s="5">
        <v>2923081.2</v>
      </c>
      <c r="P13" s="5">
        <v>2923081.2</v>
      </c>
    </row>
    <row r="14" spans="1:16" x14ac:dyDescent="0.2">
      <c r="A14" s="77" t="s">
        <v>42</v>
      </c>
      <c r="B14" s="77" t="s">
        <v>43</v>
      </c>
      <c r="C14" s="77" t="s">
        <v>35</v>
      </c>
      <c r="D14" s="77" t="s">
        <v>44</v>
      </c>
      <c r="E14" s="77" t="s">
        <v>37</v>
      </c>
      <c r="F14" s="77" t="s">
        <v>38</v>
      </c>
      <c r="G14" s="77" t="s">
        <v>47</v>
      </c>
      <c r="H14" s="77" t="s">
        <v>48</v>
      </c>
      <c r="I14" s="77" t="s">
        <v>11</v>
      </c>
      <c r="J14" s="77" t="s">
        <v>76</v>
      </c>
      <c r="K14" s="77" t="s">
        <v>122</v>
      </c>
      <c r="L14" s="77" t="s">
        <v>15</v>
      </c>
      <c r="M14" s="5">
        <v>3394236</v>
      </c>
      <c r="N14" s="77"/>
      <c r="O14" s="77"/>
      <c r="P14" s="77"/>
    </row>
    <row r="15" spans="1:16" x14ac:dyDescent="0.2">
      <c r="A15" s="77" t="s">
        <v>42</v>
      </c>
      <c r="B15" s="77" t="s">
        <v>43</v>
      </c>
      <c r="C15" s="77" t="s">
        <v>35</v>
      </c>
      <c r="D15" s="77" t="s">
        <v>51</v>
      </c>
      <c r="E15" s="77" t="s">
        <v>37</v>
      </c>
      <c r="F15" s="77" t="s">
        <v>38</v>
      </c>
      <c r="G15" s="77" t="s">
        <v>138</v>
      </c>
      <c r="H15" s="77" t="s">
        <v>55</v>
      </c>
      <c r="I15" s="77" t="s">
        <v>11</v>
      </c>
      <c r="J15" s="77" t="s">
        <v>20</v>
      </c>
      <c r="K15" s="77" t="s">
        <v>41</v>
      </c>
      <c r="L15" s="77" t="s">
        <v>15</v>
      </c>
      <c r="M15" s="5">
        <v>5109000</v>
      </c>
      <c r="N15" s="77"/>
      <c r="O15" s="77"/>
      <c r="P15" s="77"/>
    </row>
    <row r="16" spans="1:16" x14ac:dyDescent="0.2">
      <c r="A16" s="77" t="s">
        <v>42</v>
      </c>
      <c r="B16" s="77" t="s">
        <v>43</v>
      </c>
      <c r="C16" s="77" t="s">
        <v>35</v>
      </c>
      <c r="D16" s="77" t="s">
        <v>51</v>
      </c>
      <c r="E16" s="77" t="s">
        <v>37</v>
      </c>
      <c r="F16" s="77" t="s">
        <v>38</v>
      </c>
      <c r="G16" s="77" t="s">
        <v>154</v>
      </c>
      <c r="H16" s="77" t="s">
        <v>123</v>
      </c>
      <c r="I16" s="77" t="s">
        <v>11</v>
      </c>
      <c r="J16" s="77" t="s">
        <v>76</v>
      </c>
      <c r="K16" s="77" t="s">
        <v>122</v>
      </c>
      <c r="L16" s="77" t="s">
        <v>13</v>
      </c>
      <c r="M16" s="5">
        <v>9000000</v>
      </c>
      <c r="N16" s="77"/>
      <c r="O16" s="77"/>
      <c r="P16" s="77"/>
    </row>
    <row r="17" spans="1:16" x14ac:dyDescent="0.2">
      <c r="A17" s="77" t="s">
        <v>42</v>
      </c>
      <c r="B17" s="77" t="s">
        <v>43</v>
      </c>
      <c r="C17" s="77" t="s">
        <v>35</v>
      </c>
      <c r="D17" s="77" t="s">
        <v>51</v>
      </c>
      <c r="E17" s="77" t="s">
        <v>37</v>
      </c>
      <c r="F17" s="77" t="s">
        <v>38</v>
      </c>
      <c r="G17" s="77" t="s">
        <v>54</v>
      </c>
      <c r="H17" s="77" t="s">
        <v>150</v>
      </c>
      <c r="I17" s="77" t="s">
        <v>11</v>
      </c>
      <c r="J17" s="77" t="s">
        <v>20</v>
      </c>
      <c r="K17" s="77" t="s">
        <v>41</v>
      </c>
      <c r="L17" s="77" t="s">
        <v>11</v>
      </c>
      <c r="M17" s="5">
        <v>164984847.47</v>
      </c>
      <c r="N17" s="5">
        <v>164984847.47</v>
      </c>
      <c r="O17" s="5">
        <v>164984138.33000001</v>
      </c>
      <c r="P17" s="5">
        <v>163312910.06</v>
      </c>
    </row>
    <row r="18" spans="1:16" x14ac:dyDescent="0.2">
      <c r="A18" s="77" t="s">
        <v>42</v>
      </c>
      <c r="B18" s="77" t="s">
        <v>43</v>
      </c>
      <c r="C18" s="77" t="s">
        <v>35</v>
      </c>
      <c r="D18" s="77" t="s">
        <v>51</v>
      </c>
      <c r="E18" s="77" t="s">
        <v>37</v>
      </c>
      <c r="F18" s="77" t="s">
        <v>38</v>
      </c>
      <c r="G18" s="77" t="s">
        <v>124</v>
      </c>
      <c r="H18" s="77" t="s">
        <v>118</v>
      </c>
      <c r="I18" s="77" t="s">
        <v>11</v>
      </c>
      <c r="J18" s="77" t="s">
        <v>20</v>
      </c>
      <c r="K18" s="77" t="s">
        <v>41</v>
      </c>
      <c r="L18" s="77" t="s">
        <v>14</v>
      </c>
      <c r="M18" s="5">
        <v>2442858</v>
      </c>
      <c r="N18" s="5">
        <v>1018052.92</v>
      </c>
      <c r="O18" s="5">
        <v>932819.92</v>
      </c>
      <c r="P18" s="5">
        <v>932819.92</v>
      </c>
    </row>
    <row r="19" spans="1:16" x14ac:dyDescent="0.2">
      <c r="A19" s="77" t="s">
        <v>42</v>
      </c>
      <c r="B19" s="77" t="s">
        <v>43</v>
      </c>
      <c r="C19" s="77" t="s">
        <v>35</v>
      </c>
      <c r="D19" s="77" t="s">
        <v>36</v>
      </c>
      <c r="E19" s="77" t="s">
        <v>37</v>
      </c>
      <c r="F19" s="77" t="s">
        <v>38</v>
      </c>
      <c r="G19" s="77" t="s">
        <v>39</v>
      </c>
      <c r="H19" s="77" t="s">
        <v>40</v>
      </c>
      <c r="I19" s="77" t="s">
        <v>11</v>
      </c>
      <c r="J19" s="77" t="s">
        <v>20</v>
      </c>
      <c r="K19" s="77" t="s">
        <v>41</v>
      </c>
      <c r="L19" s="77" t="s">
        <v>15</v>
      </c>
      <c r="M19" s="5">
        <v>658450</v>
      </c>
      <c r="N19" s="77"/>
      <c r="O19" s="77"/>
      <c r="P19" s="77"/>
    </row>
    <row r="20" spans="1:16" x14ac:dyDescent="0.2">
      <c r="A20" s="77" t="s">
        <v>42</v>
      </c>
      <c r="B20" s="77" t="s">
        <v>43</v>
      </c>
      <c r="C20" s="77" t="s">
        <v>35</v>
      </c>
      <c r="D20" s="77" t="s">
        <v>36</v>
      </c>
      <c r="E20" s="77" t="s">
        <v>37</v>
      </c>
      <c r="F20" s="77" t="s">
        <v>38</v>
      </c>
      <c r="G20" s="77" t="s">
        <v>39</v>
      </c>
      <c r="H20" s="77" t="s">
        <v>40</v>
      </c>
      <c r="I20" s="77" t="s">
        <v>11</v>
      </c>
      <c r="J20" s="77" t="s">
        <v>20</v>
      </c>
      <c r="K20" s="77" t="s">
        <v>41</v>
      </c>
      <c r="L20" s="77" t="s">
        <v>14</v>
      </c>
      <c r="M20" s="5">
        <v>603773</v>
      </c>
      <c r="N20" s="5">
        <v>594734</v>
      </c>
      <c r="O20" s="5">
        <v>146428.78</v>
      </c>
      <c r="P20" s="5">
        <v>126535.23</v>
      </c>
    </row>
    <row r="21" spans="1:16" x14ac:dyDescent="0.2">
      <c r="A21" s="77" t="s">
        <v>42</v>
      </c>
      <c r="B21" s="77" t="s">
        <v>43</v>
      </c>
      <c r="C21" s="77" t="s">
        <v>35</v>
      </c>
      <c r="D21" s="77" t="s">
        <v>56</v>
      </c>
      <c r="E21" s="77" t="s">
        <v>37</v>
      </c>
      <c r="F21" s="77" t="s">
        <v>38</v>
      </c>
      <c r="G21" s="77" t="s">
        <v>57</v>
      </c>
      <c r="H21" s="77" t="s">
        <v>58</v>
      </c>
      <c r="I21" s="77" t="s">
        <v>11</v>
      </c>
      <c r="J21" s="77" t="s">
        <v>20</v>
      </c>
      <c r="K21" s="77" t="s">
        <v>41</v>
      </c>
      <c r="L21" s="77" t="s">
        <v>14</v>
      </c>
      <c r="M21" s="5">
        <v>560609</v>
      </c>
      <c r="N21" s="5">
        <v>483456.48</v>
      </c>
      <c r="O21" s="5">
        <v>167050.84</v>
      </c>
      <c r="P21" s="5">
        <v>167050.84</v>
      </c>
    </row>
    <row r="22" spans="1:16" x14ac:dyDescent="0.2">
      <c r="A22" s="77" t="s">
        <v>42</v>
      </c>
      <c r="B22" s="77" t="s">
        <v>43</v>
      </c>
      <c r="C22" s="77" t="s">
        <v>35</v>
      </c>
      <c r="D22" s="77" t="s">
        <v>59</v>
      </c>
      <c r="E22" s="77" t="s">
        <v>37</v>
      </c>
      <c r="F22" s="77" t="s">
        <v>38</v>
      </c>
      <c r="G22" s="77" t="s">
        <v>60</v>
      </c>
      <c r="H22" s="77" t="s">
        <v>61</v>
      </c>
      <c r="I22" s="77" t="s">
        <v>62</v>
      </c>
      <c r="J22" s="77" t="s">
        <v>20</v>
      </c>
      <c r="K22" s="77" t="s">
        <v>41</v>
      </c>
      <c r="L22" s="77" t="s">
        <v>15</v>
      </c>
      <c r="M22" s="5">
        <v>15000</v>
      </c>
      <c r="N22" s="77"/>
      <c r="O22" s="77"/>
      <c r="P22" s="77"/>
    </row>
    <row r="23" spans="1:16" x14ac:dyDescent="0.2">
      <c r="A23" s="77" t="s">
        <v>42</v>
      </c>
      <c r="B23" s="77" t="s">
        <v>43</v>
      </c>
      <c r="C23" s="77" t="s">
        <v>35</v>
      </c>
      <c r="D23" s="77" t="s">
        <v>59</v>
      </c>
      <c r="E23" s="77" t="s">
        <v>37</v>
      </c>
      <c r="F23" s="77" t="s">
        <v>38</v>
      </c>
      <c r="G23" s="77" t="s">
        <v>60</v>
      </c>
      <c r="H23" s="77" t="s">
        <v>61</v>
      </c>
      <c r="I23" s="77" t="s">
        <v>62</v>
      </c>
      <c r="J23" s="77" t="s">
        <v>20</v>
      </c>
      <c r="K23" s="77" t="s">
        <v>41</v>
      </c>
      <c r="L23" s="77" t="s">
        <v>14</v>
      </c>
      <c r="M23" s="5">
        <v>12294825</v>
      </c>
      <c r="N23" s="5">
        <v>7893400</v>
      </c>
      <c r="O23" s="5">
        <v>4071455.57</v>
      </c>
      <c r="P23" s="5">
        <v>4071455.57</v>
      </c>
    </row>
    <row r="24" spans="1:16" x14ac:dyDescent="0.2">
      <c r="A24" s="77" t="s">
        <v>42</v>
      </c>
      <c r="B24" s="77" t="s">
        <v>43</v>
      </c>
      <c r="C24" s="77" t="s">
        <v>35</v>
      </c>
      <c r="D24" s="77" t="s">
        <v>63</v>
      </c>
      <c r="E24" s="77" t="s">
        <v>37</v>
      </c>
      <c r="F24" s="77" t="s">
        <v>38</v>
      </c>
      <c r="G24" s="77" t="s">
        <v>155</v>
      </c>
      <c r="H24" s="77" t="s">
        <v>156</v>
      </c>
      <c r="I24" s="77" t="s">
        <v>11</v>
      </c>
      <c r="J24" s="77" t="s">
        <v>20</v>
      </c>
      <c r="K24" s="77" t="s">
        <v>41</v>
      </c>
      <c r="L24" s="77" t="s">
        <v>14</v>
      </c>
      <c r="M24" s="5">
        <v>23002840.800000001</v>
      </c>
      <c r="N24" s="5">
        <v>23002840.800000001</v>
      </c>
      <c r="O24" s="5">
        <v>9339443.5</v>
      </c>
      <c r="P24" s="5">
        <v>9339443.5</v>
      </c>
    </row>
    <row r="25" spans="1:16" x14ac:dyDescent="0.2">
      <c r="A25" s="77" t="s">
        <v>42</v>
      </c>
      <c r="B25" s="77" t="s">
        <v>43</v>
      </c>
      <c r="C25" s="77" t="s">
        <v>35</v>
      </c>
      <c r="D25" s="77" t="s">
        <v>139</v>
      </c>
      <c r="E25" s="77" t="s">
        <v>37</v>
      </c>
      <c r="F25" s="77" t="s">
        <v>38</v>
      </c>
      <c r="G25" s="77" t="s">
        <v>52</v>
      </c>
      <c r="H25" s="77" t="s">
        <v>53</v>
      </c>
      <c r="I25" s="77" t="s">
        <v>11</v>
      </c>
      <c r="J25" s="77" t="s">
        <v>20</v>
      </c>
      <c r="K25" s="77" t="s">
        <v>41</v>
      </c>
      <c r="L25" s="77" t="s">
        <v>11</v>
      </c>
      <c r="M25" s="5">
        <v>26499654.68</v>
      </c>
      <c r="N25" s="5">
        <v>26499654.68</v>
      </c>
      <c r="O25" s="5">
        <v>26499654.68</v>
      </c>
      <c r="P25" s="5">
        <v>26499654.68</v>
      </c>
    </row>
    <row r="26" spans="1:16" x14ac:dyDescent="0.2">
      <c r="A26" s="77" t="s">
        <v>42</v>
      </c>
      <c r="B26" s="77" t="s">
        <v>43</v>
      </c>
      <c r="C26" s="77" t="s">
        <v>72</v>
      </c>
      <c r="D26" s="77" t="s">
        <v>73</v>
      </c>
      <c r="E26" s="77" t="s">
        <v>74</v>
      </c>
      <c r="F26" s="77" t="s">
        <v>75</v>
      </c>
      <c r="G26" s="77" t="s">
        <v>76</v>
      </c>
      <c r="H26" s="77" t="s">
        <v>151</v>
      </c>
      <c r="I26" s="77" t="s">
        <v>62</v>
      </c>
      <c r="J26" s="77" t="s">
        <v>19</v>
      </c>
      <c r="K26" s="77" t="s">
        <v>78</v>
      </c>
      <c r="L26" s="77" t="s">
        <v>11</v>
      </c>
      <c r="M26" s="5">
        <v>47809846.020000003</v>
      </c>
      <c r="N26" s="5">
        <v>47809846.020000003</v>
      </c>
      <c r="O26" s="5">
        <v>47809846.020000003</v>
      </c>
      <c r="P26" s="5">
        <v>47293563.219999999</v>
      </c>
    </row>
    <row r="27" spans="1:16" x14ac:dyDescent="0.2">
      <c r="A27" s="77" t="s">
        <v>42</v>
      </c>
      <c r="B27" s="77" t="s">
        <v>43</v>
      </c>
      <c r="C27" s="77" t="s">
        <v>157</v>
      </c>
      <c r="D27" s="77" t="s">
        <v>139</v>
      </c>
      <c r="E27" s="77" t="s">
        <v>158</v>
      </c>
      <c r="F27" s="77" t="s">
        <v>159</v>
      </c>
      <c r="G27" s="77" t="s">
        <v>160</v>
      </c>
      <c r="H27" s="77" t="s">
        <v>161</v>
      </c>
      <c r="I27" s="77" t="s">
        <v>62</v>
      </c>
      <c r="J27" s="77" t="s">
        <v>20</v>
      </c>
      <c r="K27" s="77" t="s">
        <v>41</v>
      </c>
      <c r="L27" s="77" t="s">
        <v>14</v>
      </c>
      <c r="M27" s="5">
        <v>18684</v>
      </c>
      <c r="N27" s="5">
        <v>18684</v>
      </c>
      <c r="O27" s="5">
        <v>7403.54</v>
      </c>
      <c r="P27" s="5">
        <v>7403.54</v>
      </c>
    </row>
    <row r="28" spans="1:16" x14ac:dyDescent="0.2">
      <c r="M28" s="5"/>
      <c r="N28" s="5"/>
      <c r="O28" s="5"/>
      <c r="P28" s="5"/>
    </row>
    <row r="29" spans="1:16" x14ac:dyDescent="0.2">
      <c r="M29" s="5">
        <f>SUM(M10:M28)</f>
        <v>358973522.96999997</v>
      </c>
      <c r="N29" s="5">
        <f t="shared" ref="N29:P29" si="0">SUM(N10:N28)</f>
        <v>316609006.01999998</v>
      </c>
      <c r="O29" s="5">
        <f t="shared" si="0"/>
        <v>269781135.25</v>
      </c>
      <c r="P29" s="5">
        <f t="shared" si="0"/>
        <v>266572361.58999997</v>
      </c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6"/>
      <c r="N34" s="56"/>
      <c r="O34" s="56"/>
      <c r="P34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33" sqref="A33:XFD33"/>
    </sheetView>
  </sheetViews>
  <sheetFormatPr defaultRowHeight="12.75" x14ac:dyDescent="0.2"/>
  <cols>
    <col min="13" max="16" width="13.85546875" bestFit="1" customWidth="1"/>
  </cols>
  <sheetData>
    <row r="1" spans="1:16" x14ac:dyDescent="0.2">
      <c r="A1" s="81" t="s">
        <v>120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x14ac:dyDescent="0.2">
      <c r="A3" s="81" t="s">
        <v>121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</row>
    <row r="4" spans="1:16" x14ac:dyDescent="0.2">
      <c r="A4" s="101" t="s">
        <v>166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s="81" customFormat="1" x14ac:dyDescent="0.2"/>
    <row r="6" spans="1:16" x14ac:dyDescent="0.2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1:16" x14ac:dyDescent="0.2">
      <c r="A7" s="81" t="s">
        <v>23</v>
      </c>
      <c r="B7" s="81"/>
      <c r="C7" s="81" t="s">
        <v>24</v>
      </c>
      <c r="D7" s="81" t="s">
        <v>25</v>
      </c>
      <c r="E7" s="81" t="s">
        <v>26</v>
      </c>
      <c r="F7" s="81"/>
      <c r="G7" s="81" t="s">
        <v>27</v>
      </c>
      <c r="H7" s="81"/>
      <c r="I7" s="81" t="s">
        <v>28</v>
      </c>
      <c r="J7" s="81" t="s">
        <v>29</v>
      </c>
      <c r="K7" s="81" t="s">
        <v>30</v>
      </c>
      <c r="L7" s="81" t="s">
        <v>31</v>
      </c>
      <c r="M7" s="81" t="s">
        <v>32</v>
      </c>
      <c r="N7" s="81" t="s">
        <v>125</v>
      </c>
      <c r="O7" s="81" t="s">
        <v>126</v>
      </c>
      <c r="P7" s="81" t="s">
        <v>127</v>
      </c>
    </row>
    <row r="8" spans="1:16" ht="10.5" customHeight="1" x14ac:dyDescent="0.2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 t="s">
        <v>33</v>
      </c>
      <c r="N8" s="81" t="s">
        <v>128</v>
      </c>
      <c r="O8" s="81" t="s">
        <v>129</v>
      </c>
      <c r="P8" s="81" t="s">
        <v>130</v>
      </c>
    </row>
    <row r="9" spans="1:16" ht="10.5" customHeight="1" x14ac:dyDescent="0.2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 t="s">
        <v>34</v>
      </c>
      <c r="M9" s="81" t="s">
        <v>143</v>
      </c>
      <c r="N9" s="81" t="s">
        <v>143</v>
      </c>
      <c r="O9" s="81" t="s">
        <v>143</v>
      </c>
      <c r="P9" s="81" t="s">
        <v>143</v>
      </c>
    </row>
    <row r="10" spans="1:16" x14ac:dyDescent="0.2">
      <c r="A10" s="81" t="s">
        <v>42</v>
      </c>
      <c r="B10" s="81" t="s">
        <v>43</v>
      </c>
      <c r="C10" s="81" t="s">
        <v>35</v>
      </c>
      <c r="D10" s="81" t="s">
        <v>44</v>
      </c>
      <c r="E10" s="81" t="s">
        <v>37</v>
      </c>
      <c r="F10" s="81" t="s">
        <v>38</v>
      </c>
      <c r="G10" s="81" t="s">
        <v>45</v>
      </c>
      <c r="H10" s="81" t="s">
        <v>46</v>
      </c>
      <c r="I10" s="81" t="s">
        <v>11</v>
      </c>
      <c r="J10" s="81" t="s">
        <v>20</v>
      </c>
      <c r="K10" s="81" t="s">
        <v>41</v>
      </c>
      <c r="L10" s="81" t="s">
        <v>14</v>
      </c>
      <c r="M10" s="5">
        <v>15000</v>
      </c>
      <c r="N10" s="5">
        <v>15000</v>
      </c>
      <c r="O10" s="81"/>
      <c r="P10" s="81"/>
    </row>
    <row r="11" spans="1:16" x14ac:dyDescent="0.2">
      <c r="A11" s="81" t="s">
        <v>42</v>
      </c>
      <c r="B11" s="81" t="s">
        <v>43</v>
      </c>
      <c r="C11" s="81" t="s">
        <v>35</v>
      </c>
      <c r="D11" s="81" t="s">
        <v>44</v>
      </c>
      <c r="E11" s="81" t="s">
        <v>37</v>
      </c>
      <c r="F11" s="81" t="s">
        <v>38</v>
      </c>
      <c r="G11" s="81" t="s">
        <v>47</v>
      </c>
      <c r="H11" s="81" t="s">
        <v>48</v>
      </c>
      <c r="I11" s="81" t="s">
        <v>11</v>
      </c>
      <c r="J11" s="81" t="s">
        <v>20</v>
      </c>
      <c r="K11" s="81" t="s">
        <v>41</v>
      </c>
      <c r="L11" s="81" t="s">
        <v>15</v>
      </c>
      <c r="M11" s="5">
        <v>4492136</v>
      </c>
      <c r="N11" s="5">
        <v>61224.19</v>
      </c>
      <c r="O11" s="81"/>
      <c r="P11" s="81"/>
    </row>
    <row r="12" spans="1:16" x14ac:dyDescent="0.2">
      <c r="A12" s="81" t="s">
        <v>42</v>
      </c>
      <c r="B12" s="81" t="s">
        <v>43</v>
      </c>
      <c r="C12" s="81" t="s">
        <v>35</v>
      </c>
      <c r="D12" s="81" t="s">
        <v>44</v>
      </c>
      <c r="E12" s="81" t="s">
        <v>37</v>
      </c>
      <c r="F12" s="81" t="s">
        <v>38</v>
      </c>
      <c r="G12" s="81" t="s">
        <v>47</v>
      </c>
      <c r="H12" s="81" t="s">
        <v>48</v>
      </c>
      <c r="I12" s="81" t="s">
        <v>11</v>
      </c>
      <c r="J12" s="81" t="s">
        <v>20</v>
      </c>
      <c r="K12" s="81" t="s">
        <v>41</v>
      </c>
      <c r="L12" s="81" t="s">
        <v>14</v>
      </c>
      <c r="M12" s="5">
        <v>53533613</v>
      </c>
      <c r="N12" s="5">
        <v>38497448.689999998</v>
      </c>
      <c r="O12" s="5">
        <v>16143187.439999999</v>
      </c>
      <c r="P12" s="5">
        <v>13988736.689999999</v>
      </c>
    </row>
    <row r="13" spans="1:16" x14ac:dyDescent="0.2">
      <c r="A13" s="81" t="s">
        <v>42</v>
      </c>
      <c r="B13" s="81" t="s">
        <v>43</v>
      </c>
      <c r="C13" s="81" t="s">
        <v>35</v>
      </c>
      <c r="D13" s="81" t="s">
        <v>44</v>
      </c>
      <c r="E13" s="81" t="s">
        <v>37</v>
      </c>
      <c r="F13" s="81" t="s">
        <v>38</v>
      </c>
      <c r="G13" s="81" t="s">
        <v>47</v>
      </c>
      <c r="H13" s="81" t="s">
        <v>48</v>
      </c>
      <c r="I13" s="81" t="s">
        <v>11</v>
      </c>
      <c r="J13" s="81" t="s">
        <v>21</v>
      </c>
      <c r="K13" s="81" t="s">
        <v>49</v>
      </c>
      <c r="L13" s="81" t="s">
        <v>14</v>
      </c>
      <c r="M13" s="5">
        <v>7243081</v>
      </c>
      <c r="N13" s="5">
        <v>7159159.6799999997</v>
      </c>
      <c r="O13" s="5">
        <v>3602818.33</v>
      </c>
      <c r="P13" s="5">
        <v>3295980.4</v>
      </c>
    </row>
    <row r="14" spans="1:16" x14ac:dyDescent="0.2">
      <c r="A14" s="81" t="s">
        <v>42</v>
      </c>
      <c r="B14" s="81" t="s">
        <v>43</v>
      </c>
      <c r="C14" s="81" t="s">
        <v>35</v>
      </c>
      <c r="D14" s="81" t="s">
        <v>44</v>
      </c>
      <c r="E14" s="81" t="s">
        <v>37</v>
      </c>
      <c r="F14" s="81" t="s">
        <v>38</v>
      </c>
      <c r="G14" s="81" t="s">
        <v>47</v>
      </c>
      <c r="H14" s="81" t="s">
        <v>48</v>
      </c>
      <c r="I14" s="81" t="s">
        <v>11</v>
      </c>
      <c r="J14" s="81" t="s">
        <v>76</v>
      </c>
      <c r="K14" s="81" t="s">
        <v>122</v>
      </c>
      <c r="L14" s="81" t="s">
        <v>15</v>
      </c>
      <c r="M14" s="5">
        <v>3394236</v>
      </c>
      <c r="N14" s="81"/>
      <c r="O14" s="81"/>
      <c r="P14" s="81"/>
    </row>
    <row r="15" spans="1:16" x14ac:dyDescent="0.2">
      <c r="A15" s="81" t="s">
        <v>42</v>
      </c>
      <c r="B15" s="81" t="s">
        <v>43</v>
      </c>
      <c r="C15" s="81" t="s">
        <v>35</v>
      </c>
      <c r="D15" s="81" t="s">
        <v>51</v>
      </c>
      <c r="E15" s="81" t="s">
        <v>37</v>
      </c>
      <c r="F15" s="81" t="s">
        <v>38</v>
      </c>
      <c r="G15" s="81" t="s">
        <v>138</v>
      </c>
      <c r="H15" s="81" t="s">
        <v>55</v>
      </c>
      <c r="I15" s="81" t="s">
        <v>11</v>
      </c>
      <c r="J15" s="81" t="s">
        <v>20</v>
      </c>
      <c r="K15" s="81" t="s">
        <v>41</v>
      </c>
      <c r="L15" s="81" t="s">
        <v>15</v>
      </c>
      <c r="M15" s="5">
        <v>5109000</v>
      </c>
      <c r="N15" s="81"/>
      <c r="O15" s="81"/>
      <c r="P15" s="81"/>
    </row>
    <row r="16" spans="1:16" x14ac:dyDescent="0.2">
      <c r="A16" s="81" t="s">
        <v>42</v>
      </c>
      <c r="B16" s="81" t="s">
        <v>43</v>
      </c>
      <c r="C16" s="81" t="s">
        <v>35</v>
      </c>
      <c r="D16" s="81" t="s">
        <v>51</v>
      </c>
      <c r="E16" s="81" t="s">
        <v>37</v>
      </c>
      <c r="F16" s="81" t="s">
        <v>38</v>
      </c>
      <c r="G16" s="81" t="s">
        <v>154</v>
      </c>
      <c r="H16" s="81" t="s">
        <v>123</v>
      </c>
      <c r="I16" s="81" t="s">
        <v>11</v>
      </c>
      <c r="J16" s="81" t="s">
        <v>76</v>
      </c>
      <c r="K16" s="81" t="s">
        <v>122</v>
      </c>
      <c r="L16" s="81" t="s">
        <v>13</v>
      </c>
      <c r="M16" s="5">
        <v>9000000</v>
      </c>
      <c r="N16" s="81"/>
      <c r="O16" s="81"/>
      <c r="P16" s="81"/>
    </row>
    <row r="17" spans="1:16" x14ac:dyDescent="0.2">
      <c r="A17" s="81" t="s">
        <v>42</v>
      </c>
      <c r="B17" s="81" t="s">
        <v>43</v>
      </c>
      <c r="C17" s="81" t="s">
        <v>35</v>
      </c>
      <c r="D17" s="81" t="s">
        <v>51</v>
      </c>
      <c r="E17" s="81" t="s">
        <v>37</v>
      </c>
      <c r="F17" s="81" t="s">
        <v>38</v>
      </c>
      <c r="G17" s="81" t="s">
        <v>54</v>
      </c>
      <c r="H17" s="81" t="s">
        <v>150</v>
      </c>
      <c r="I17" s="81" t="s">
        <v>11</v>
      </c>
      <c r="J17" s="81" t="s">
        <v>20</v>
      </c>
      <c r="K17" s="81" t="s">
        <v>41</v>
      </c>
      <c r="L17" s="81" t="s">
        <v>11</v>
      </c>
      <c r="M17" s="5">
        <v>196076256.91999999</v>
      </c>
      <c r="N17" s="5">
        <v>196076256.91999999</v>
      </c>
      <c r="O17" s="5">
        <v>196053954.18000001</v>
      </c>
      <c r="P17" s="5">
        <v>194395715.84</v>
      </c>
    </row>
    <row r="18" spans="1:16" x14ac:dyDescent="0.2">
      <c r="A18" s="81" t="s">
        <v>42</v>
      </c>
      <c r="B18" s="81" t="s">
        <v>43</v>
      </c>
      <c r="C18" s="81" t="s">
        <v>35</v>
      </c>
      <c r="D18" s="81" t="s">
        <v>51</v>
      </c>
      <c r="E18" s="81" t="s">
        <v>37</v>
      </c>
      <c r="F18" s="81" t="s">
        <v>38</v>
      </c>
      <c r="G18" s="81" t="s">
        <v>124</v>
      </c>
      <c r="H18" s="81" t="s">
        <v>118</v>
      </c>
      <c r="I18" s="81" t="s">
        <v>11</v>
      </c>
      <c r="J18" s="81" t="s">
        <v>20</v>
      </c>
      <c r="K18" s="81" t="s">
        <v>41</v>
      </c>
      <c r="L18" s="81" t="s">
        <v>14</v>
      </c>
      <c r="M18" s="5">
        <v>2442858</v>
      </c>
      <c r="N18" s="5">
        <v>1201917.58</v>
      </c>
      <c r="O18" s="5">
        <v>1119984.58</v>
      </c>
      <c r="P18" s="5">
        <v>1119984.58</v>
      </c>
    </row>
    <row r="19" spans="1:16" x14ac:dyDescent="0.2">
      <c r="A19" s="81" t="s">
        <v>42</v>
      </c>
      <c r="B19" s="81" t="s">
        <v>43</v>
      </c>
      <c r="C19" s="81" t="s">
        <v>35</v>
      </c>
      <c r="D19" s="81" t="s">
        <v>36</v>
      </c>
      <c r="E19" s="81" t="s">
        <v>37</v>
      </c>
      <c r="F19" s="81" t="s">
        <v>38</v>
      </c>
      <c r="G19" s="81" t="s">
        <v>39</v>
      </c>
      <c r="H19" s="81" t="s">
        <v>40</v>
      </c>
      <c r="I19" s="81" t="s">
        <v>11</v>
      </c>
      <c r="J19" s="81" t="s">
        <v>20</v>
      </c>
      <c r="K19" s="81" t="s">
        <v>41</v>
      </c>
      <c r="L19" s="81" t="s">
        <v>15</v>
      </c>
      <c r="M19" s="5">
        <v>803039</v>
      </c>
      <c r="N19" s="81"/>
      <c r="O19" s="81"/>
      <c r="P19" s="81"/>
    </row>
    <row r="20" spans="1:16" x14ac:dyDescent="0.2">
      <c r="A20" s="81" t="s">
        <v>42</v>
      </c>
      <c r="B20" s="81" t="s">
        <v>43</v>
      </c>
      <c r="C20" s="81" t="s">
        <v>35</v>
      </c>
      <c r="D20" s="81" t="s">
        <v>36</v>
      </c>
      <c r="E20" s="81" t="s">
        <v>37</v>
      </c>
      <c r="F20" s="81" t="s">
        <v>38</v>
      </c>
      <c r="G20" s="81" t="s">
        <v>39</v>
      </c>
      <c r="H20" s="81" t="s">
        <v>40</v>
      </c>
      <c r="I20" s="81" t="s">
        <v>11</v>
      </c>
      <c r="J20" s="81" t="s">
        <v>20</v>
      </c>
      <c r="K20" s="81" t="s">
        <v>41</v>
      </c>
      <c r="L20" s="81" t="s">
        <v>14</v>
      </c>
      <c r="M20" s="5">
        <v>858773</v>
      </c>
      <c r="N20" s="5">
        <v>594734</v>
      </c>
      <c r="O20" s="5">
        <v>180032</v>
      </c>
      <c r="P20" s="5">
        <v>177617.92000000001</v>
      </c>
    </row>
    <row r="21" spans="1:16" x14ac:dyDescent="0.2">
      <c r="A21" s="81" t="s">
        <v>42</v>
      </c>
      <c r="B21" s="81" t="s">
        <v>43</v>
      </c>
      <c r="C21" s="81" t="s">
        <v>35</v>
      </c>
      <c r="D21" s="81" t="s">
        <v>56</v>
      </c>
      <c r="E21" s="81" t="s">
        <v>37</v>
      </c>
      <c r="F21" s="81" t="s">
        <v>38</v>
      </c>
      <c r="G21" s="81" t="s">
        <v>57</v>
      </c>
      <c r="H21" s="81" t="s">
        <v>58</v>
      </c>
      <c r="I21" s="81" t="s">
        <v>11</v>
      </c>
      <c r="J21" s="81" t="s">
        <v>20</v>
      </c>
      <c r="K21" s="81" t="s">
        <v>41</v>
      </c>
      <c r="L21" s="81" t="s">
        <v>14</v>
      </c>
      <c r="M21" s="5">
        <v>560609</v>
      </c>
      <c r="N21" s="5">
        <v>483456.48</v>
      </c>
      <c r="O21" s="5">
        <v>208813.55</v>
      </c>
      <c r="P21" s="5">
        <v>167050.84</v>
      </c>
    </row>
    <row r="22" spans="1:16" x14ac:dyDescent="0.2">
      <c r="A22" s="81" t="s">
        <v>42</v>
      </c>
      <c r="B22" s="81" t="s">
        <v>43</v>
      </c>
      <c r="C22" s="81" t="s">
        <v>35</v>
      </c>
      <c r="D22" s="81" t="s">
        <v>59</v>
      </c>
      <c r="E22" s="81" t="s">
        <v>37</v>
      </c>
      <c r="F22" s="81" t="s">
        <v>38</v>
      </c>
      <c r="G22" s="81" t="s">
        <v>60</v>
      </c>
      <c r="H22" s="81" t="s">
        <v>61</v>
      </c>
      <c r="I22" s="81" t="s">
        <v>62</v>
      </c>
      <c r="J22" s="81" t="s">
        <v>20</v>
      </c>
      <c r="K22" s="81" t="s">
        <v>41</v>
      </c>
      <c r="L22" s="81" t="s">
        <v>15</v>
      </c>
      <c r="M22" s="5">
        <v>15000</v>
      </c>
      <c r="N22" s="81"/>
      <c r="O22" s="81"/>
      <c r="P22" s="81"/>
    </row>
    <row r="23" spans="1:16" x14ac:dyDescent="0.2">
      <c r="A23" s="81" t="s">
        <v>42</v>
      </c>
      <c r="B23" s="81" t="s">
        <v>43</v>
      </c>
      <c r="C23" s="81" t="s">
        <v>35</v>
      </c>
      <c r="D23" s="81" t="s">
        <v>59</v>
      </c>
      <c r="E23" s="81" t="s">
        <v>37</v>
      </c>
      <c r="F23" s="81" t="s">
        <v>38</v>
      </c>
      <c r="G23" s="81" t="s">
        <v>60</v>
      </c>
      <c r="H23" s="81" t="s">
        <v>61</v>
      </c>
      <c r="I23" s="81" t="s">
        <v>62</v>
      </c>
      <c r="J23" s="81" t="s">
        <v>20</v>
      </c>
      <c r="K23" s="81" t="s">
        <v>41</v>
      </c>
      <c r="L23" s="81" t="s">
        <v>14</v>
      </c>
      <c r="M23" s="5">
        <v>12294825</v>
      </c>
      <c r="N23" s="5">
        <v>7893400</v>
      </c>
      <c r="O23" s="5">
        <v>5059359.78</v>
      </c>
      <c r="P23" s="5">
        <v>5059359.78</v>
      </c>
    </row>
    <row r="24" spans="1:16" x14ac:dyDescent="0.2">
      <c r="A24" s="81" t="s">
        <v>42</v>
      </c>
      <c r="B24" s="81" t="s">
        <v>43</v>
      </c>
      <c r="C24" s="81" t="s">
        <v>35</v>
      </c>
      <c r="D24" s="81" t="s">
        <v>63</v>
      </c>
      <c r="E24" s="81" t="s">
        <v>37</v>
      </c>
      <c r="F24" s="81" t="s">
        <v>38</v>
      </c>
      <c r="G24" s="81" t="s">
        <v>155</v>
      </c>
      <c r="H24" s="81" t="s">
        <v>156</v>
      </c>
      <c r="I24" s="81" t="s">
        <v>11</v>
      </c>
      <c r="J24" s="81" t="s">
        <v>20</v>
      </c>
      <c r="K24" s="81" t="s">
        <v>41</v>
      </c>
      <c r="L24" s="81" t="s">
        <v>14</v>
      </c>
      <c r="M24" s="5">
        <v>23379489.66</v>
      </c>
      <c r="N24" s="5">
        <v>23011179.66</v>
      </c>
      <c r="O24" s="5">
        <v>11179506.439999999</v>
      </c>
      <c r="P24" s="5">
        <v>11179506.439999999</v>
      </c>
    </row>
    <row r="25" spans="1:16" x14ac:dyDescent="0.2">
      <c r="A25" s="81" t="s">
        <v>42</v>
      </c>
      <c r="B25" s="81" t="s">
        <v>43</v>
      </c>
      <c r="C25" s="81" t="s">
        <v>35</v>
      </c>
      <c r="D25" s="81" t="s">
        <v>139</v>
      </c>
      <c r="E25" s="81" t="s">
        <v>37</v>
      </c>
      <c r="F25" s="81" t="s">
        <v>38</v>
      </c>
      <c r="G25" s="81" t="s">
        <v>52</v>
      </c>
      <c r="H25" s="81" t="s">
        <v>53</v>
      </c>
      <c r="I25" s="81" t="s">
        <v>11</v>
      </c>
      <c r="J25" s="81" t="s">
        <v>20</v>
      </c>
      <c r="K25" s="81" t="s">
        <v>41</v>
      </c>
      <c r="L25" s="81" t="s">
        <v>11</v>
      </c>
      <c r="M25" s="5">
        <v>31875497.390000001</v>
      </c>
      <c r="N25" s="5">
        <v>31875497.390000001</v>
      </c>
      <c r="O25" s="5">
        <v>31875497.390000001</v>
      </c>
      <c r="P25" s="5">
        <v>31875497.390000001</v>
      </c>
    </row>
    <row r="26" spans="1:16" x14ac:dyDescent="0.2">
      <c r="A26" s="81" t="s">
        <v>42</v>
      </c>
      <c r="B26" s="81" t="s">
        <v>43</v>
      </c>
      <c r="C26" s="81" t="s">
        <v>72</v>
      </c>
      <c r="D26" s="81" t="s">
        <v>73</v>
      </c>
      <c r="E26" s="81" t="s">
        <v>74</v>
      </c>
      <c r="F26" s="81" t="s">
        <v>75</v>
      </c>
      <c r="G26" s="81" t="s">
        <v>76</v>
      </c>
      <c r="H26" s="81" t="s">
        <v>151</v>
      </c>
      <c r="I26" s="81" t="s">
        <v>62</v>
      </c>
      <c r="J26" s="81" t="s">
        <v>19</v>
      </c>
      <c r="K26" s="81" t="s">
        <v>78</v>
      </c>
      <c r="L26" s="81" t="s">
        <v>11</v>
      </c>
      <c r="M26" s="5">
        <v>56953427.189999998</v>
      </c>
      <c r="N26" s="5">
        <v>56953427.189999998</v>
      </c>
      <c r="O26" s="5">
        <v>56940697.140000001</v>
      </c>
      <c r="P26" s="5">
        <v>56411421.140000001</v>
      </c>
    </row>
    <row r="27" spans="1:16" x14ac:dyDescent="0.2">
      <c r="A27" s="81" t="s">
        <v>42</v>
      </c>
      <c r="B27" s="81" t="s">
        <v>43</v>
      </c>
      <c r="C27" s="81" t="s">
        <v>157</v>
      </c>
      <c r="D27" s="81" t="s">
        <v>139</v>
      </c>
      <c r="E27" s="81" t="s">
        <v>158</v>
      </c>
      <c r="F27" s="81" t="s">
        <v>159</v>
      </c>
      <c r="G27" s="81" t="s">
        <v>160</v>
      </c>
      <c r="H27" s="81" t="s">
        <v>161</v>
      </c>
      <c r="I27" s="81" t="s">
        <v>62</v>
      </c>
      <c r="J27" s="81" t="s">
        <v>20</v>
      </c>
      <c r="K27" s="81" t="s">
        <v>41</v>
      </c>
      <c r="L27" s="81" t="s">
        <v>14</v>
      </c>
      <c r="M27" s="5">
        <v>18684</v>
      </c>
      <c r="N27" s="5">
        <v>18684</v>
      </c>
      <c r="O27" s="5">
        <v>8878.99</v>
      </c>
      <c r="P27" s="5">
        <v>8878.99</v>
      </c>
    </row>
    <row r="28" spans="1:16" x14ac:dyDescent="0.2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spans="1:16" x14ac:dyDescent="0.2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56">
        <f>SUM(M10:M28)</f>
        <v>408065525.15999997</v>
      </c>
      <c r="N29" s="56">
        <f>SUM(N10:N28)</f>
        <v>363841385.77999997</v>
      </c>
      <c r="O29" s="56">
        <f>SUM(O10:O28)</f>
        <v>322372729.82000005</v>
      </c>
      <c r="P29" s="56">
        <f>SUM(P10:P28)</f>
        <v>317679750.00999999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Normal="100" workbookViewId="0">
      <selection activeCell="A33" sqref="A33:XFD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t="s">
        <v>120</v>
      </c>
    </row>
    <row r="3" spans="1:16" ht="10.5" customHeight="1" x14ac:dyDescent="0.2">
      <c r="A3" t="s">
        <v>121</v>
      </c>
    </row>
    <row r="4" spans="1:16" ht="10.5" customHeight="1" x14ac:dyDescent="0.2">
      <c r="A4" s="101" t="s">
        <v>167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7" spans="1:16" x14ac:dyDescent="0.2">
      <c r="A7" t="s">
        <v>23</v>
      </c>
      <c r="C7" t="s">
        <v>24</v>
      </c>
      <c r="D7" t="s">
        <v>25</v>
      </c>
      <c r="E7" t="s">
        <v>26</v>
      </c>
      <c r="G7" t="s">
        <v>27</v>
      </c>
      <c r="I7" t="s">
        <v>28</v>
      </c>
      <c r="J7" t="s">
        <v>29</v>
      </c>
      <c r="K7" t="s">
        <v>30</v>
      </c>
      <c r="L7" t="s">
        <v>31</v>
      </c>
      <c r="M7" t="s">
        <v>32</v>
      </c>
      <c r="N7" t="s">
        <v>125</v>
      </c>
      <c r="O7" t="s">
        <v>126</v>
      </c>
      <c r="P7" t="s">
        <v>127</v>
      </c>
    </row>
    <row r="8" spans="1:16" x14ac:dyDescent="0.2">
      <c r="M8" t="s">
        <v>33</v>
      </c>
      <c r="N8" t="s">
        <v>128</v>
      </c>
      <c r="O8" t="s">
        <v>129</v>
      </c>
      <c r="P8" t="s">
        <v>130</v>
      </c>
    </row>
    <row r="9" spans="1:16" x14ac:dyDescent="0.2">
      <c r="L9" t="s">
        <v>34</v>
      </c>
      <c r="M9" t="s">
        <v>131</v>
      </c>
      <c r="N9" t="s">
        <v>131</v>
      </c>
      <c r="O9" t="s">
        <v>131</v>
      </c>
      <c r="P9" t="s">
        <v>131</v>
      </c>
    </row>
    <row r="10" spans="1:16" x14ac:dyDescent="0.2">
      <c r="A10" s="82" t="s">
        <v>42</v>
      </c>
      <c r="B10" s="82" t="s">
        <v>43</v>
      </c>
      <c r="C10" s="82" t="s">
        <v>35</v>
      </c>
      <c r="D10" s="82" t="s">
        <v>44</v>
      </c>
      <c r="E10" s="82" t="s">
        <v>37</v>
      </c>
      <c r="F10" s="82" t="s">
        <v>38</v>
      </c>
      <c r="G10" s="82" t="s">
        <v>45</v>
      </c>
      <c r="H10" s="82" t="s">
        <v>46</v>
      </c>
      <c r="I10" s="82" t="s">
        <v>11</v>
      </c>
      <c r="J10" s="82" t="s">
        <v>20</v>
      </c>
      <c r="K10" s="82" t="s">
        <v>41</v>
      </c>
      <c r="L10" s="82" t="s">
        <v>14</v>
      </c>
      <c r="M10" s="5">
        <v>15000</v>
      </c>
      <c r="N10" s="5">
        <v>15000</v>
      </c>
      <c r="O10" s="82"/>
      <c r="P10" s="82"/>
    </row>
    <row r="11" spans="1:16" x14ac:dyDescent="0.2">
      <c r="A11" s="82" t="s">
        <v>42</v>
      </c>
      <c r="B11" s="82" t="s">
        <v>43</v>
      </c>
      <c r="C11" s="82" t="s">
        <v>35</v>
      </c>
      <c r="D11" s="82" t="s">
        <v>44</v>
      </c>
      <c r="E11" s="82" t="s">
        <v>37</v>
      </c>
      <c r="F11" s="82" t="s">
        <v>38</v>
      </c>
      <c r="G11" s="82" t="s">
        <v>47</v>
      </c>
      <c r="H11" s="82" t="s">
        <v>48</v>
      </c>
      <c r="I11" s="82" t="s">
        <v>11</v>
      </c>
      <c r="J11" s="82" t="s">
        <v>20</v>
      </c>
      <c r="K11" s="82" t="s">
        <v>41</v>
      </c>
      <c r="L11" s="82" t="s">
        <v>15</v>
      </c>
      <c r="M11" s="5">
        <v>4492136</v>
      </c>
      <c r="N11" s="5">
        <v>61224.19</v>
      </c>
      <c r="O11" s="5">
        <v>7766.79</v>
      </c>
      <c r="P11" s="5">
        <v>7766.79</v>
      </c>
    </row>
    <row r="12" spans="1:16" x14ac:dyDescent="0.2">
      <c r="A12" s="82" t="s">
        <v>42</v>
      </c>
      <c r="B12" s="82" t="s">
        <v>43</v>
      </c>
      <c r="C12" s="82" t="s">
        <v>35</v>
      </c>
      <c r="D12" s="82" t="s">
        <v>44</v>
      </c>
      <c r="E12" s="82" t="s">
        <v>37</v>
      </c>
      <c r="F12" s="82" t="s">
        <v>38</v>
      </c>
      <c r="G12" s="82" t="s">
        <v>47</v>
      </c>
      <c r="H12" s="82" t="s">
        <v>48</v>
      </c>
      <c r="I12" s="82" t="s">
        <v>11</v>
      </c>
      <c r="J12" s="82" t="s">
        <v>20</v>
      </c>
      <c r="K12" s="82" t="s">
        <v>41</v>
      </c>
      <c r="L12" s="82" t="s">
        <v>14</v>
      </c>
      <c r="M12" s="5">
        <v>53948153</v>
      </c>
      <c r="N12" s="5">
        <v>41868684.729999997</v>
      </c>
      <c r="O12" s="5">
        <v>19879191.539999999</v>
      </c>
      <c r="P12" s="5">
        <v>18490504</v>
      </c>
    </row>
    <row r="13" spans="1:16" x14ac:dyDescent="0.2">
      <c r="A13" s="82" t="s">
        <v>42</v>
      </c>
      <c r="B13" s="82" t="s">
        <v>43</v>
      </c>
      <c r="C13" s="82" t="s">
        <v>35</v>
      </c>
      <c r="D13" s="82" t="s">
        <v>44</v>
      </c>
      <c r="E13" s="82" t="s">
        <v>37</v>
      </c>
      <c r="F13" s="82" t="s">
        <v>38</v>
      </c>
      <c r="G13" s="82" t="s">
        <v>47</v>
      </c>
      <c r="H13" s="82" t="s">
        <v>48</v>
      </c>
      <c r="I13" s="82" t="s">
        <v>11</v>
      </c>
      <c r="J13" s="82" t="s">
        <v>21</v>
      </c>
      <c r="K13" s="82" t="s">
        <v>49</v>
      </c>
      <c r="L13" s="82" t="s">
        <v>14</v>
      </c>
      <c r="M13" s="5">
        <v>7243081</v>
      </c>
      <c r="N13" s="5">
        <v>7159159.6799999997</v>
      </c>
      <c r="O13" s="5">
        <v>4237895.97</v>
      </c>
      <c r="P13" s="5">
        <v>3931058.04</v>
      </c>
    </row>
    <row r="14" spans="1:16" x14ac:dyDescent="0.2">
      <c r="A14" s="82" t="s">
        <v>42</v>
      </c>
      <c r="B14" s="82" t="s">
        <v>43</v>
      </c>
      <c r="C14" s="82" t="s">
        <v>35</v>
      </c>
      <c r="D14" s="82" t="s">
        <v>44</v>
      </c>
      <c r="E14" s="82" t="s">
        <v>37</v>
      </c>
      <c r="F14" s="82" t="s">
        <v>38</v>
      </c>
      <c r="G14" s="82" t="s">
        <v>47</v>
      </c>
      <c r="H14" s="82" t="s">
        <v>48</v>
      </c>
      <c r="I14" s="82" t="s">
        <v>11</v>
      </c>
      <c r="J14" s="82" t="s">
        <v>76</v>
      </c>
      <c r="K14" s="82" t="s">
        <v>122</v>
      </c>
      <c r="L14" s="82" t="s">
        <v>15</v>
      </c>
      <c r="M14" s="5">
        <v>3394236</v>
      </c>
      <c r="N14" s="82"/>
      <c r="O14" s="82"/>
      <c r="P14" s="82"/>
    </row>
    <row r="15" spans="1:16" x14ac:dyDescent="0.2">
      <c r="A15" s="82" t="s">
        <v>42</v>
      </c>
      <c r="B15" s="82" t="s">
        <v>43</v>
      </c>
      <c r="C15" s="82" t="s">
        <v>35</v>
      </c>
      <c r="D15" s="82" t="s">
        <v>51</v>
      </c>
      <c r="E15" s="82" t="s">
        <v>37</v>
      </c>
      <c r="F15" s="82" t="s">
        <v>38</v>
      </c>
      <c r="G15" s="82" t="s">
        <v>138</v>
      </c>
      <c r="H15" s="82" t="s">
        <v>55</v>
      </c>
      <c r="I15" s="82" t="s">
        <v>11</v>
      </c>
      <c r="J15" s="82" t="s">
        <v>20</v>
      </c>
      <c r="K15" s="82" t="s">
        <v>41</v>
      </c>
      <c r="L15" s="82" t="s">
        <v>15</v>
      </c>
      <c r="M15" s="5">
        <v>5109000</v>
      </c>
      <c r="N15" s="5">
        <v>14980</v>
      </c>
      <c r="O15" s="82"/>
      <c r="P15" s="82"/>
    </row>
    <row r="16" spans="1:16" x14ac:dyDescent="0.2">
      <c r="A16" s="82" t="s">
        <v>42</v>
      </c>
      <c r="B16" s="82" t="s">
        <v>43</v>
      </c>
      <c r="C16" s="82" t="s">
        <v>35</v>
      </c>
      <c r="D16" s="82" t="s">
        <v>51</v>
      </c>
      <c r="E16" s="82" t="s">
        <v>37</v>
      </c>
      <c r="F16" s="82" t="s">
        <v>38</v>
      </c>
      <c r="G16" s="82" t="s">
        <v>154</v>
      </c>
      <c r="H16" s="82" t="s">
        <v>123</v>
      </c>
      <c r="I16" s="82" t="s">
        <v>11</v>
      </c>
      <c r="J16" s="82" t="s">
        <v>76</v>
      </c>
      <c r="K16" s="82" t="s">
        <v>122</v>
      </c>
      <c r="L16" s="82" t="s">
        <v>13</v>
      </c>
      <c r="M16" s="5">
        <v>9000000</v>
      </c>
      <c r="N16" s="82"/>
      <c r="O16" s="82"/>
      <c r="P16" s="82"/>
    </row>
    <row r="17" spans="1:16" x14ac:dyDescent="0.2">
      <c r="A17" s="82" t="s">
        <v>42</v>
      </c>
      <c r="B17" s="82" t="s">
        <v>43</v>
      </c>
      <c r="C17" s="82" t="s">
        <v>35</v>
      </c>
      <c r="D17" s="82" t="s">
        <v>51</v>
      </c>
      <c r="E17" s="82" t="s">
        <v>37</v>
      </c>
      <c r="F17" s="82" t="s">
        <v>38</v>
      </c>
      <c r="G17" s="82" t="s">
        <v>54</v>
      </c>
      <c r="H17" s="82" t="s">
        <v>150</v>
      </c>
      <c r="I17" s="82" t="s">
        <v>11</v>
      </c>
      <c r="J17" s="82" t="s">
        <v>20</v>
      </c>
      <c r="K17" s="82" t="s">
        <v>41</v>
      </c>
      <c r="L17" s="82" t="s">
        <v>11</v>
      </c>
      <c r="M17" s="5">
        <v>226205052.34</v>
      </c>
      <c r="N17" s="5">
        <v>226205052.34</v>
      </c>
      <c r="O17" s="5">
        <v>226197759.83000001</v>
      </c>
      <c r="P17" s="5">
        <v>224544431.09999999</v>
      </c>
    </row>
    <row r="18" spans="1:16" x14ac:dyDescent="0.2">
      <c r="A18" s="82" t="s">
        <v>42</v>
      </c>
      <c r="B18" s="82" t="s">
        <v>43</v>
      </c>
      <c r="C18" s="82" t="s">
        <v>35</v>
      </c>
      <c r="D18" s="82" t="s">
        <v>51</v>
      </c>
      <c r="E18" s="82" t="s">
        <v>37</v>
      </c>
      <c r="F18" s="82" t="s">
        <v>38</v>
      </c>
      <c r="G18" s="82" t="s">
        <v>124</v>
      </c>
      <c r="H18" s="82" t="s">
        <v>118</v>
      </c>
      <c r="I18" s="82" t="s">
        <v>11</v>
      </c>
      <c r="J18" s="82" t="s">
        <v>20</v>
      </c>
      <c r="K18" s="82" t="s">
        <v>41</v>
      </c>
      <c r="L18" s="82" t="s">
        <v>14</v>
      </c>
      <c r="M18" s="5">
        <v>2442858</v>
      </c>
      <c r="N18" s="5">
        <v>1385782.24</v>
      </c>
      <c r="O18" s="5">
        <v>1305574.24</v>
      </c>
      <c r="P18" s="5">
        <v>1305574.24</v>
      </c>
    </row>
    <row r="19" spans="1:16" x14ac:dyDescent="0.2">
      <c r="A19" s="82" t="s">
        <v>42</v>
      </c>
      <c r="B19" s="82" t="s">
        <v>43</v>
      </c>
      <c r="C19" s="82" t="s">
        <v>35</v>
      </c>
      <c r="D19" s="82" t="s">
        <v>36</v>
      </c>
      <c r="E19" s="82" t="s">
        <v>37</v>
      </c>
      <c r="F19" s="82" t="s">
        <v>38</v>
      </c>
      <c r="G19" s="82" t="s">
        <v>39</v>
      </c>
      <c r="H19" s="82" t="s">
        <v>40</v>
      </c>
      <c r="I19" s="82" t="s">
        <v>11</v>
      </c>
      <c r="J19" s="82" t="s">
        <v>20</v>
      </c>
      <c r="K19" s="82" t="s">
        <v>41</v>
      </c>
      <c r="L19" s="82" t="s">
        <v>15</v>
      </c>
      <c r="M19" s="5">
        <v>803039</v>
      </c>
      <c r="N19" s="82"/>
      <c r="O19" s="82"/>
      <c r="P19" s="82"/>
    </row>
    <row r="20" spans="1:16" x14ac:dyDescent="0.2">
      <c r="A20" s="82" t="s">
        <v>42</v>
      </c>
      <c r="B20" s="82" t="s">
        <v>43</v>
      </c>
      <c r="C20" s="82" t="s">
        <v>35</v>
      </c>
      <c r="D20" s="82" t="s">
        <v>36</v>
      </c>
      <c r="E20" s="82" t="s">
        <v>37</v>
      </c>
      <c r="F20" s="82" t="s">
        <v>38</v>
      </c>
      <c r="G20" s="82" t="s">
        <v>39</v>
      </c>
      <c r="H20" s="82" t="s">
        <v>40</v>
      </c>
      <c r="I20" s="82" t="s">
        <v>11</v>
      </c>
      <c r="J20" s="82" t="s">
        <v>20</v>
      </c>
      <c r="K20" s="82" t="s">
        <v>41</v>
      </c>
      <c r="L20" s="82" t="s">
        <v>14</v>
      </c>
      <c r="M20" s="5">
        <v>858773</v>
      </c>
      <c r="N20" s="5">
        <v>824734</v>
      </c>
      <c r="O20" s="5">
        <v>262188.28000000003</v>
      </c>
      <c r="P20" s="5">
        <v>262188.28000000003</v>
      </c>
    </row>
    <row r="21" spans="1:16" x14ac:dyDescent="0.2">
      <c r="A21" s="82" t="s">
        <v>42</v>
      </c>
      <c r="B21" s="82" t="s">
        <v>43</v>
      </c>
      <c r="C21" s="82" t="s">
        <v>35</v>
      </c>
      <c r="D21" s="82" t="s">
        <v>56</v>
      </c>
      <c r="E21" s="82" t="s">
        <v>37</v>
      </c>
      <c r="F21" s="82" t="s">
        <v>38</v>
      </c>
      <c r="G21" s="82" t="s">
        <v>57</v>
      </c>
      <c r="H21" s="82" t="s">
        <v>58</v>
      </c>
      <c r="I21" s="82" t="s">
        <v>11</v>
      </c>
      <c r="J21" s="82" t="s">
        <v>20</v>
      </c>
      <c r="K21" s="82" t="s">
        <v>41</v>
      </c>
      <c r="L21" s="82" t="s">
        <v>14</v>
      </c>
      <c r="M21" s="5">
        <v>560609</v>
      </c>
      <c r="N21" s="5">
        <v>483456.48</v>
      </c>
      <c r="O21" s="5">
        <v>250576.26</v>
      </c>
      <c r="P21" s="5">
        <v>250576.26</v>
      </c>
    </row>
    <row r="22" spans="1:16" x14ac:dyDescent="0.2">
      <c r="A22" s="82" t="s">
        <v>42</v>
      </c>
      <c r="B22" s="82" t="s">
        <v>43</v>
      </c>
      <c r="C22" s="82" t="s">
        <v>35</v>
      </c>
      <c r="D22" s="82" t="s">
        <v>59</v>
      </c>
      <c r="E22" s="82" t="s">
        <v>37</v>
      </c>
      <c r="F22" s="82" t="s">
        <v>38</v>
      </c>
      <c r="G22" s="82" t="s">
        <v>60</v>
      </c>
      <c r="H22" s="82" t="s">
        <v>61</v>
      </c>
      <c r="I22" s="82" t="s">
        <v>62</v>
      </c>
      <c r="J22" s="82" t="s">
        <v>20</v>
      </c>
      <c r="K22" s="82" t="s">
        <v>41</v>
      </c>
      <c r="L22" s="82" t="s">
        <v>15</v>
      </c>
      <c r="M22" s="5">
        <v>15000</v>
      </c>
      <c r="N22" s="82"/>
      <c r="O22" s="82"/>
      <c r="P22" s="82"/>
    </row>
    <row r="23" spans="1:16" x14ac:dyDescent="0.2">
      <c r="A23" s="82" t="s">
        <v>42</v>
      </c>
      <c r="B23" s="82" t="s">
        <v>43</v>
      </c>
      <c r="C23" s="82" t="s">
        <v>35</v>
      </c>
      <c r="D23" s="82" t="s">
        <v>59</v>
      </c>
      <c r="E23" s="82" t="s">
        <v>37</v>
      </c>
      <c r="F23" s="82" t="s">
        <v>38</v>
      </c>
      <c r="G23" s="82" t="s">
        <v>60</v>
      </c>
      <c r="H23" s="82" t="s">
        <v>61</v>
      </c>
      <c r="I23" s="82" t="s">
        <v>62</v>
      </c>
      <c r="J23" s="82" t="s">
        <v>20</v>
      </c>
      <c r="K23" s="82" t="s">
        <v>41</v>
      </c>
      <c r="L23" s="82" t="s">
        <v>14</v>
      </c>
      <c r="M23" s="5">
        <v>12294825</v>
      </c>
      <c r="N23" s="5">
        <v>9884274.6999999993</v>
      </c>
      <c r="O23" s="5">
        <v>6038946.8700000001</v>
      </c>
      <c r="P23" s="5">
        <v>6038946.8700000001</v>
      </c>
    </row>
    <row r="24" spans="1:16" x14ac:dyDescent="0.2">
      <c r="A24" s="82" t="s">
        <v>42</v>
      </c>
      <c r="B24" s="82" t="s">
        <v>43</v>
      </c>
      <c r="C24" s="82" t="s">
        <v>35</v>
      </c>
      <c r="D24" s="82" t="s">
        <v>63</v>
      </c>
      <c r="E24" s="82" t="s">
        <v>37</v>
      </c>
      <c r="F24" s="82" t="s">
        <v>38</v>
      </c>
      <c r="G24" s="82" t="s">
        <v>155</v>
      </c>
      <c r="H24" s="82" t="s">
        <v>156</v>
      </c>
      <c r="I24" s="82" t="s">
        <v>11</v>
      </c>
      <c r="J24" s="82" t="s">
        <v>20</v>
      </c>
      <c r="K24" s="82" t="s">
        <v>41</v>
      </c>
      <c r="L24" s="82" t="s">
        <v>14</v>
      </c>
      <c r="M24" s="5">
        <v>23383704.66</v>
      </c>
      <c r="N24" s="5">
        <v>23015394.66</v>
      </c>
      <c r="O24" s="5">
        <v>13131067.060000001</v>
      </c>
      <c r="P24" s="5">
        <v>13131067.060000001</v>
      </c>
    </row>
    <row r="25" spans="1:16" x14ac:dyDescent="0.2">
      <c r="A25" s="82" t="s">
        <v>42</v>
      </c>
      <c r="B25" s="82" t="s">
        <v>43</v>
      </c>
      <c r="C25" s="82" t="s">
        <v>35</v>
      </c>
      <c r="D25" s="82" t="s">
        <v>139</v>
      </c>
      <c r="E25" s="82" t="s">
        <v>37</v>
      </c>
      <c r="F25" s="82" t="s">
        <v>38</v>
      </c>
      <c r="G25" s="82" t="s">
        <v>52</v>
      </c>
      <c r="H25" s="82" t="s">
        <v>53</v>
      </c>
      <c r="I25" s="82" t="s">
        <v>11</v>
      </c>
      <c r="J25" s="82" t="s">
        <v>20</v>
      </c>
      <c r="K25" s="82" t="s">
        <v>41</v>
      </c>
      <c r="L25" s="82" t="s">
        <v>11</v>
      </c>
      <c r="M25" s="5">
        <v>37153706.159999996</v>
      </c>
      <c r="N25" s="5">
        <v>37153706.159999996</v>
      </c>
      <c r="O25" s="5">
        <v>37153706.159999996</v>
      </c>
      <c r="P25" s="5">
        <v>37153706.159999996</v>
      </c>
    </row>
    <row r="26" spans="1:16" x14ac:dyDescent="0.2">
      <c r="A26" s="82" t="s">
        <v>42</v>
      </c>
      <c r="B26" s="82" t="s">
        <v>43</v>
      </c>
      <c r="C26" s="82" t="s">
        <v>72</v>
      </c>
      <c r="D26" s="82" t="s">
        <v>73</v>
      </c>
      <c r="E26" s="82" t="s">
        <v>74</v>
      </c>
      <c r="F26" s="82" t="s">
        <v>75</v>
      </c>
      <c r="G26" s="82" t="s">
        <v>76</v>
      </c>
      <c r="H26" s="82" t="s">
        <v>151</v>
      </c>
      <c r="I26" s="82" t="s">
        <v>62</v>
      </c>
      <c r="J26" s="82" t="s">
        <v>19</v>
      </c>
      <c r="K26" s="82" t="s">
        <v>78</v>
      </c>
      <c r="L26" s="82" t="s">
        <v>11</v>
      </c>
      <c r="M26" s="5">
        <v>66186710.390000001</v>
      </c>
      <c r="N26" s="5">
        <v>66186710.390000001</v>
      </c>
      <c r="O26" s="5">
        <v>66186710.390000001</v>
      </c>
      <c r="P26" s="5">
        <v>65651962.359999999</v>
      </c>
    </row>
    <row r="27" spans="1:16" x14ac:dyDescent="0.2">
      <c r="A27" s="82" t="s">
        <v>42</v>
      </c>
      <c r="B27" s="82" t="s">
        <v>43</v>
      </c>
      <c r="C27" s="82" t="s">
        <v>157</v>
      </c>
      <c r="D27" s="82" t="s">
        <v>139</v>
      </c>
      <c r="E27" s="82" t="s">
        <v>158</v>
      </c>
      <c r="F27" s="82" t="s">
        <v>159</v>
      </c>
      <c r="G27" s="82" t="s">
        <v>160</v>
      </c>
      <c r="H27" s="82" t="s">
        <v>161</v>
      </c>
      <c r="I27" s="82" t="s">
        <v>62</v>
      </c>
      <c r="J27" s="82" t="s">
        <v>20</v>
      </c>
      <c r="K27" s="82" t="s">
        <v>41</v>
      </c>
      <c r="L27" s="82" t="s">
        <v>14</v>
      </c>
      <c r="M27" s="5">
        <v>18684</v>
      </c>
      <c r="N27" s="5">
        <v>18684</v>
      </c>
      <c r="O27" s="5">
        <v>10354.44</v>
      </c>
      <c r="P27" s="5">
        <v>10354.44</v>
      </c>
    </row>
    <row r="28" spans="1:16" x14ac:dyDescent="0.2">
      <c r="M28" s="5"/>
      <c r="N28" s="5"/>
      <c r="O28" s="5"/>
      <c r="P28" s="5"/>
    </row>
    <row r="29" spans="1:16" x14ac:dyDescent="0.2">
      <c r="M29" s="5">
        <f>SUM(M10:M28)</f>
        <v>453124567.55000007</v>
      </c>
      <c r="N29" s="5">
        <f t="shared" ref="N29:P29" si="0">SUM(N10:N28)</f>
        <v>414276843.57000005</v>
      </c>
      <c r="O29" s="5">
        <f t="shared" si="0"/>
        <v>374661737.82999998</v>
      </c>
      <c r="P29" s="5">
        <f t="shared" si="0"/>
        <v>370778135.60000002</v>
      </c>
    </row>
    <row r="30" spans="1:16" x14ac:dyDescent="0.2">
      <c r="M30" s="5"/>
      <c r="N30" s="5"/>
      <c r="O30" s="5"/>
      <c r="P30" s="5"/>
    </row>
    <row r="31" spans="1:16" x14ac:dyDescent="0.2">
      <c r="M31" s="5"/>
      <c r="N31" s="5"/>
      <c r="O31" s="5"/>
      <c r="P31" s="5"/>
    </row>
    <row r="32" spans="1:16" x14ac:dyDescent="0.2">
      <c r="M32" s="5"/>
      <c r="N32" s="5"/>
      <c r="O32" s="5"/>
      <c r="P32" s="5"/>
    </row>
    <row r="33" spans="13:16" x14ac:dyDescent="0.2">
      <c r="M33" s="5"/>
      <c r="N33" s="5"/>
      <c r="O33" s="5"/>
      <c r="P33" s="5"/>
    </row>
    <row r="34" spans="13:16" x14ac:dyDescent="0.2">
      <c r="M34" s="5"/>
      <c r="N34" s="5"/>
      <c r="O34" s="5"/>
      <c r="P34" s="5"/>
    </row>
    <row r="35" spans="13:16" x14ac:dyDescent="0.2">
      <c r="M35" s="5"/>
      <c r="N35" s="5"/>
      <c r="O35" s="5"/>
      <c r="P35" s="5"/>
    </row>
    <row r="37" spans="13:16" x14ac:dyDescent="0.2">
      <c r="M37" s="56"/>
      <c r="N37" s="56"/>
      <c r="O37" s="56"/>
      <c r="P37" s="56"/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10" zoomScale="70" zoomScaleNormal="70" zoomScaleSheetLayoutView="7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21.7109375" style="3" customWidth="1"/>
    <col min="17" max="17" width="20.42578125" style="1" customWidth="1"/>
    <col min="18" max="18" width="26.28515625" style="3" customWidth="1"/>
    <col min="19" max="19" width="17.28515625" style="1" customWidth="1"/>
    <col min="20" max="20" width="9.28515625" style="3" bestFit="1" customWidth="1"/>
    <col min="21" max="21" width="15.140625" style="4" customWidth="1"/>
    <col min="22" max="22" width="9.28515625" style="4" bestFit="1" customWidth="1"/>
    <col min="23" max="23" width="20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43132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+'Access-Fev'!A10</f>
        <v>12104</v>
      </c>
      <c r="B10" s="25" t="str">
        <f>+'Access-Fev'!B10</f>
        <v>TRIBUNAL REGIONAL FEDERAL DA 3A. REGIAO</v>
      </c>
      <c r="C10" s="26" t="str">
        <f>CONCATENATE('Access-Fev'!C10,".",'Access-Fev'!D10)</f>
        <v>02.061</v>
      </c>
      <c r="D10" s="26" t="str">
        <f>CONCATENATE('Access-Fev'!E10,".",'Access-Fev'!G10)</f>
        <v>0569.4224</v>
      </c>
      <c r="E10" s="25" t="str">
        <f>+'Access-Fev'!F10</f>
        <v>PRESTACAO JURISDICIONAL NA JUSTICA FEDERAL</v>
      </c>
      <c r="F10" s="27" t="str">
        <f>+'Access-Fev'!H10</f>
        <v>ASSISTENCIA JURIDICA A PESSOAS CARENTES</v>
      </c>
      <c r="G10" s="24" t="str">
        <f>IF('Access-Fev'!I10="1","F","S")</f>
        <v>F</v>
      </c>
      <c r="H10" s="24" t="str">
        <f>+'Access-Fev'!J10</f>
        <v>0100</v>
      </c>
      <c r="I10" s="28" t="str">
        <f>+'Access-Fev'!K10</f>
        <v>RECURSOS ORDINARIOS</v>
      </c>
      <c r="J10" s="24" t="str">
        <f>+'Access-Fev'!L10</f>
        <v>3</v>
      </c>
      <c r="K10" s="47"/>
      <c r="L10" s="48"/>
      <c r="M10" s="48"/>
      <c r="N10" s="49">
        <f>+K10+L10-M10</f>
        <v>0</v>
      </c>
      <c r="O10" s="47"/>
      <c r="P10" s="29">
        <f>'Access-Fev'!M10</f>
        <v>15000</v>
      </c>
      <c r="Q10" s="29"/>
      <c r="R10" s="29">
        <f>N10-O10+P10</f>
        <v>15000</v>
      </c>
      <c r="S10" s="55">
        <f>'Access-Fev'!N10</f>
        <v>15000</v>
      </c>
      <c r="T10" s="44">
        <f>IF(R10&gt;0,S10/R10,0)</f>
        <v>1</v>
      </c>
      <c r="U10" s="29">
        <f>'Access-Fev'!O10</f>
        <v>0</v>
      </c>
      <c r="V10" s="30">
        <f>IF(R10&gt;0,U10/R10,0)</f>
        <v>0</v>
      </c>
      <c r="W10" s="29">
        <f>'Access-Fev'!P10</f>
        <v>0</v>
      </c>
      <c r="X10" s="30">
        <f>IF(R10&gt;0,W10/R10,0)</f>
        <v>0</v>
      </c>
    </row>
    <row r="11" spans="1:24" ht="25.5" customHeight="1" x14ac:dyDescent="0.2">
      <c r="A11" s="31" t="str">
        <f>+'Access-Fev'!A11</f>
        <v>12104</v>
      </c>
      <c r="B11" s="32" t="str">
        <f>+'Access-Fev'!B11</f>
        <v>TRIBUNAL REGIONAL FEDERAL DA 3A. REGIAO</v>
      </c>
      <c r="C11" s="31" t="str">
        <f>CONCATENATE('Access-Fev'!C11,".",'Access-Fev'!D11)</f>
        <v>02.061</v>
      </c>
      <c r="D11" s="31" t="str">
        <f>CONCATENATE('Access-Fev'!E11,".",'Access-Fev'!G11)</f>
        <v>0569.4257</v>
      </c>
      <c r="E11" s="32" t="str">
        <f>+'Access-Fev'!F11</f>
        <v>PRESTACAO JURISDICIONAL NA JUSTICA FEDERAL</v>
      </c>
      <c r="F11" s="33" t="str">
        <f>+'Access-Fev'!H11</f>
        <v>JULGAMENTO DE CAUSAS NA JUSTICA FEDERAL</v>
      </c>
      <c r="G11" s="31" t="str">
        <f>IF('Access-Fev'!I11="1","F","S")</f>
        <v>F</v>
      </c>
      <c r="H11" s="31" t="str">
        <f>+'Access-Fev'!J11</f>
        <v>0100</v>
      </c>
      <c r="I11" s="32" t="str">
        <f>+'Access-Fev'!K11</f>
        <v>RECURSOS ORDINARIOS</v>
      </c>
      <c r="J11" s="31" t="str">
        <f>+'Access-Fev'!L11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'Access-Fev'!M11</f>
        <v>3362304</v>
      </c>
      <c r="Q11" s="34"/>
      <c r="R11" s="34">
        <f t="shared" ref="R11:R27" si="1">N11-O11+P11</f>
        <v>3362304</v>
      </c>
      <c r="S11" s="39">
        <f>'Access-Fev'!N11</f>
        <v>0</v>
      </c>
      <c r="T11" s="35">
        <f t="shared" ref="T11:T28" si="2">IF(R11&gt;0,S11/R11,0)</f>
        <v>0</v>
      </c>
      <c r="U11" s="34">
        <f>'Access-Fev'!O11</f>
        <v>0</v>
      </c>
      <c r="V11" s="35">
        <f t="shared" ref="V11:V28" si="3">IF(R11&gt;0,U11/R11,0)</f>
        <v>0</v>
      </c>
      <c r="W11" s="34">
        <f>'Access-Fev'!P11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+'Access-Fev'!A12</f>
        <v>12104</v>
      </c>
      <c r="B12" s="32" t="str">
        <f>+'Access-Fev'!B12</f>
        <v>TRIBUNAL REGIONAL FEDERAL DA 3A. REGIAO</v>
      </c>
      <c r="C12" s="31" t="str">
        <f>CONCATENATE('Access-Fev'!C12,".",'Access-Fev'!D12)</f>
        <v>02.061</v>
      </c>
      <c r="D12" s="31" t="str">
        <f>CONCATENATE('Access-Fev'!E12,".",'Access-Fev'!G12)</f>
        <v>0569.4257</v>
      </c>
      <c r="E12" s="32" t="str">
        <f>+'Access-Fev'!F12</f>
        <v>PRESTACAO JURISDICIONAL NA JUSTICA FEDERAL</v>
      </c>
      <c r="F12" s="32" t="str">
        <f>+'Access-Fev'!H12</f>
        <v>JULGAMENTO DE CAUSAS NA JUSTICA FEDERAL</v>
      </c>
      <c r="G12" s="31" t="str">
        <f>IF('Access-Fev'!I12="1","F","S")</f>
        <v>F</v>
      </c>
      <c r="H12" s="31" t="str">
        <f>+'Access-Fev'!J12</f>
        <v>0100</v>
      </c>
      <c r="I12" s="32" t="str">
        <f>+'Access-Fev'!K12</f>
        <v>RECURSOS ORDINARIOS</v>
      </c>
      <c r="J12" s="31" t="str">
        <f>+'Access-Fev'!L12</f>
        <v>3</v>
      </c>
      <c r="K12" s="34"/>
      <c r="L12" s="34"/>
      <c r="M12" s="34"/>
      <c r="N12" s="50">
        <f t="shared" si="0"/>
        <v>0</v>
      </c>
      <c r="O12" s="34"/>
      <c r="P12" s="34">
        <f>'Access-Fev'!M12</f>
        <v>53186985</v>
      </c>
      <c r="Q12" s="34"/>
      <c r="R12" s="34">
        <f t="shared" si="1"/>
        <v>53186985</v>
      </c>
      <c r="S12" s="39">
        <f>'Access-Fev'!N12</f>
        <v>34313698.859999999</v>
      </c>
      <c r="T12" s="35">
        <f t="shared" si="2"/>
        <v>0.6451521713441738</v>
      </c>
      <c r="U12" s="34">
        <f>'Access-Fev'!O12</f>
        <v>3579686.16</v>
      </c>
      <c r="V12" s="35">
        <f t="shared" si="3"/>
        <v>6.7303799228326258E-2</v>
      </c>
      <c r="W12" s="34">
        <f>'Access-Fev'!P12</f>
        <v>1882390.46</v>
      </c>
      <c r="X12" s="35">
        <f t="shared" si="4"/>
        <v>3.5391937708068991E-2</v>
      </c>
    </row>
    <row r="13" spans="1:24" ht="25.5" customHeight="1" x14ac:dyDescent="0.2">
      <c r="A13" s="31" t="str">
        <f>+'Access-Fev'!A13</f>
        <v>12104</v>
      </c>
      <c r="B13" s="32" t="str">
        <f>+'Access-Fev'!B13</f>
        <v>TRIBUNAL REGIONAL FEDERAL DA 3A. REGIAO</v>
      </c>
      <c r="C13" s="31" t="str">
        <f>CONCATENATE('Access-Fev'!C13,".",'Access-Fev'!D13)</f>
        <v>02.061</v>
      </c>
      <c r="D13" s="31" t="str">
        <f>CONCATENATE('Access-Fev'!E13,".",'Access-Fev'!G13)</f>
        <v>0569.4257</v>
      </c>
      <c r="E13" s="32" t="str">
        <f>+'Access-Fev'!F13</f>
        <v>PRESTACAO JURISDICIONAL NA JUSTICA FEDERAL</v>
      </c>
      <c r="F13" s="32" t="str">
        <f>+'Access-Fev'!H13</f>
        <v>JULGAMENTO DE CAUSAS NA JUSTICA FEDERAL</v>
      </c>
      <c r="G13" s="31" t="str">
        <f>IF('Access-Fev'!I13="1","F","S")</f>
        <v>F</v>
      </c>
      <c r="H13" s="31" t="str">
        <f>+'Access-Fev'!J13</f>
        <v>0127</v>
      </c>
      <c r="I13" s="32" t="str">
        <f>+'Access-Fev'!K13</f>
        <v>CUSTAS E EMOLUMENTOS - PODER JUDICIARIO</v>
      </c>
      <c r="J13" s="31" t="str">
        <f>+'Access-Fev'!L13</f>
        <v>3</v>
      </c>
      <c r="K13" s="34"/>
      <c r="L13" s="34"/>
      <c r="M13" s="34"/>
      <c r="N13" s="50">
        <f t="shared" si="0"/>
        <v>0</v>
      </c>
      <c r="O13" s="34"/>
      <c r="P13" s="34">
        <f>'Access-Fev'!M13</f>
        <v>7243081</v>
      </c>
      <c r="Q13" s="34"/>
      <c r="R13" s="34">
        <f t="shared" si="1"/>
        <v>7243081</v>
      </c>
      <c r="S13" s="39">
        <f>'Access-Fev'!N13</f>
        <v>7159159.6799999997</v>
      </c>
      <c r="T13" s="35">
        <f t="shared" si="2"/>
        <v>0.98841358808495994</v>
      </c>
      <c r="U13" s="34">
        <f>'Access-Fev'!O13</f>
        <v>1119818.46</v>
      </c>
      <c r="V13" s="35">
        <f t="shared" si="3"/>
        <v>0.15460526535599975</v>
      </c>
      <c r="W13" s="34">
        <f>'Access-Fev'!P13</f>
        <v>813546.6</v>
      </c>
      <c r="X13" s="35">
        <f t="shared" si="4"/>
        <v>0.11232051664202015</v>
      </c>
    </row>
    <row r="14" spans="1:24" ht="25.5" customHeight="1" x14ac:dyDescent="0.2">
      <c r="A14" s="31" t="str">
        <f>+'Access-Fev'!A14</f>
        <v>12104</v>
      </c>
      <c r="B14" s="32" t="str">
        <f>+'Access-Fev'!B14</f>
        <v>TRIBUNAL REGIONAL FEDERAL DA 3A. REGIAO</v>
      </c>
      <c r="C14" s="31" t="str">
        <f>CONCATENATE('Access-Fev'!C14,".",'Access-Fev'!D14)</f>
        <v>02.061</v>
      </c>
      <c r="D14" s="31" t="str">
        <f>CONCATENATE('Access-Fev'!E14,".",'Access-Fev'!G14)</f>
        <v>0569.4257</v>
      </c>
      <c r="E14" s="32" t="str">
        <f>+'Access-Fev'!F14</f>
        <v>PRESTACAO JURISDICIONAL NA JUSTICA FEDERAL</v>
      </c>
      <c r="F14" s="32" t="str">
        <f>+'Access-Fev'!H14</f>
        <v>JULGAMENTO DE CAUSAS NA JUSTICA FEDERAL</v>
      </c>
      <c r="G14" s="31" t="str">
        <f>IF('Access-Fev'!I14="1","F","S")</f>
        <v>F</v>
      </c>
      <c r="H14" s="31" t="str">
        <f>+'Access-Fev'!J14</f>
        <v>0181</v>
      </c>
      <c r="I14" s="32" t="str">
        <f>+'Access-Fev'!K14</f>
        <v>RECURSOS DE CONVENIOS</v>
      </c>
      <c r="J14" s="31" t="str">
        <f>+'Access-Fev'!L14</f>
        <v>4</v>
      </c>
      <c r="K14" s="34"/>
      <c r="L14" s="34"/>
      <c r="M14" s="34"/>
      <c r="N14" s="50">
        <f t="shared" si="0"/>
        <v>0</v>
      </c>
      <c r="O14" s="34"/>
      <c r="P14" s="34">
        <f>'Access-Fev'!M14</f>
        <v>3394236</v>
      </c>
      <c r="Q14" s="34"/>
      <c r="R14" s="34">
        <f t="shared" si="1"/>
        <v>3394236</v>
      </c>
      <c r="S14" s="39">
        <f>'Access-Fev'!N14</f>
        <v>0</v>
      </c>
      <c r="T14" s="35">
        <f t="shared" si="2"/>
        <v>0</v>
      </c>
      <c r="U14" s="34">
        <f>'Access-Fev'!O14</f>
        <v>0</v>
      </c>
      <c r="V14" s="35">
        <f t="shared" si="3"/>
        <v>0</v>
      </c>
      <c r="W14" s="34">
        <f>'Access-Fev'!P14</f>
        <v>0</v>
      </c>
      <c r="X14" s="35">
        <f t="shared" si="4"/>
        <v>0</v>
      </c>
    </row>
    <row r="15" spans="1:24" ht="25.5" customHeight="1" x14ac:dyDescent="0.2">
      <c r="A15" s="31" t="str">
        <f>+'Access-Fev'!A15</f>
        <v>12104</v>
      </c>
      <c r="B15" s="32" t="str">
        <f>+'Access-Fev'!B15</f>
        <v>TRIBUNAL REGIONAL FEDERAL DA 3A. REGIAO</v>
      </c>
      <c r="C15" s="31" t="str">
        <f>CONCATENATE('Access-Fev'!C15,".",'Access-Fev'!D15)</f>
        <v>02.122</v>
      </c>
      <c r="D15" s="31" t="str">
        <f>CONCATENATE('Access-Fev'!E15,".",'Access-Fev'!G15)</f>
        <v>0569.15NZ</v>
      </c>
      <c r="E15" s="32" t="str">
        <f>+'Access-Fev'!F15</f>
        <v>PRESTACAO JURISDICIONAL NA JUSTICA FEDERAL</v>
      </c>
      <c r="F15" s="32" t="str">
        <f>+'Access-Fev'!H15</f>
        <v>REFORMA DO EDIFICIO-SEDE DO TRIBUNAL REGIONAL FEDERAL DA 3.</v>
      </c>
      <c r="G15" s="31" t="str">
        <f>IF('Access-Fev'!I15="1","F","S")</f>
        <v>F</v>
      </c>
      <c r="H15" s="31" t="str">
        <f>+'Access-Fev'!J15</f>
        <v>0100</v>
      </c>
      <c r="I15" s="32" t="str">
        <f>+'Access-Fev'!K15</f>
        <v>RECURSOS ORDINARIOS</v>
      </c>
      <c r="J15" s="31" t="str">
        <f>+'Access-Fev'!L15</f>
        <v>4</v>
      </c>
      <c r="K15" s="50"/>
      <c r="L15" s="50"/>
      <c r="M15" s="50"/>
      <c r="N15" s="50">
        <f t="shared" si="0"/>
        <v>0</v>
      </c>
      <c r="O15" s="50"/>
      <c r="P15" s="34">
        <f>'Access-Fev'!M15</f>
        <v>7000000</v>
      </c>
      <c r="Q15" s="34"/>
      <c r="R15" s="34">
        <f t="shared" si="1"/>
        <v>7000000</v>
      </c>
      <c r="S15" s="39">
        <f>'Access-Fev'!N15</f>
        <v>0</v>
      </c>
      <c r="T15" s="35">
        <f t="shared" si="2"/>
        <v>0</v>
      </c>
      <c r="U15" s="34">
        <f>'Access-Fev'!O15</f>
        <v>0</v>
      </c>
      <c r="V15" s="35">
        <f t="shared" si="3"/>
        <v>0</v>
      </c>
      <c r="W15" s="34">
        <f>'Access-Fev'!P15</f>
        <v>0</v>
      </c>
      <c r="X15" s="35">
        <f t="shared" si="4"/>
        <v>0</v>
      </c>
    </row>
    <row r="16" spans="1:24" ht="25.5" customHeight="1" x14ac:dyDescent="0.2">
      <c r="A16" s="31" t="str">
        <f>+'Access-Fev'!A16</f>
        <v>12104</v>
      </c>
      <c r="B16" s="32" t="str">
        <f>+'Access-Fev'!B16</f>
        <v>TRIBUNAL REGIONAL FEDERAL DA 3A. REGIAO</v>
      </c>
      <c r="C16" s="31" t="str">
        <f>CONCATENATE('Access-Fev'!C16,".",'Access-Fev'!D16)</f>
        <v>02.122</v>
      </c>
      <c r="D16" s="31" t="str">
        <f>CONCATENATE('Access-Fev'!E16,".",'Access-Fev'!G16)</f>
        <v>0569.15PC</v>
      </c>
      <c r="E16" s="32" t="str">
        <f>+'Access-Fev'!F16</f>
        <v>PRESTACAO JURISDICIONAL NA JUSTICA FEDERAL</v>
      </c>
      <c r="F16" s="32" t="str">
        <f>+'Access-Fev'!H16</f>
        <v>AQUISICAO DE IMOVEIS PARA FUNCIONAMENTO DO TRF3 DA 3. REGIAO</v>
      </c>
      <c r="G16" s="31" t="str">
        <f>IF('Access-Fev'!I16="1","F","S")</f>
        <v>F</v>
      </c>
      <c r="H16" s="31" t="str">
        <f>+'Access-Fev'!J16</f>
        <v>0181</v>
      </c>
      <c r="I16" s="32" t="str">
        <f>+'Access-Fev'!K16</f>
        <v>RECURSOS DE CONVENIOS</v>
      </c>
      <c r="J16" s="31" t="str">
        <f>+'Access-Fev'!L16</f>
        <v>5</v>
      </c>
      <c r="K16" s="34"/>
      <c r="L16" s="34"/>
      <c r="M16" s="34"/>
      <c r="N16" s="50">
        <f t="shared" si="0"/>
        <v>0</v>
      </c>
      <c r="O16" s="34"/>
      <c r="P16" s="34">
        <f>'Access-Fev'!M16</f>
        <v>9000000</v>
      </c>
      <c r="Q16" s="34"/>
      <c r="R16" s="34">
        <f t="shared" si="1"/>
        <v>9000000</v>
      </c>
      <c r="S16" s="39">
        <f>'Access-Fev'!N16</f>
        <v>0</v>
      </c>
      <c r="T16" s="35">
        <f t="shared" si="2"/>
        <v>0</v>
      </c>
      <c r="U16" s="34">
        <f>'Access-Fev'!O16</f>
        <v>0</v>
      </c>
      <c r="V16" s="35">
        <f t="shared" si="3"/>
        <v>0</v>
      </c>
      <c r="W16" s="34">
        <f>'Access-Fev'!P16</f>
        <v>0</v>
      </c>
      <c r="X16" s="35">
        <f t="shared" si="4"/>
        <v>0</v>
      </c>
    </row>
    <row r="17" spans="1:24" ht="25.5" customHeight="1" x14ac:dyDescent="0.2">
      <c r="A17" s="31" t="str">
        <f>+'Access-Fev'!A17</f>
        <v>12104</v>
      </c>
      <c r="B17" s="32" t="str">
        <f>+'Access-Fev'!B17</f>
        <v>TRIBUNAL REGIONAL FEDERAL DA 3A. REGIAO</v>
      </c>
      <c r="C17" s="31" t="str">
        <f>CONCATENATE('Access-Fev'!C17,".",'Access-Fev'!D17)</f>
        <v>02.122</v>
      </c>
      <c r="D17" s="31" t="str">
        <f>CONCATENATE('Access-Fev'!E17,".",'Access-Fev'!G17)</f>
        <v>0569.20TP</v>
      </c>
      <c r="E17" s="32" t="str">
        <f>+'Access-Fev'!F17</f>
        <v>PRESTACAO JURISDICIONAL NA JUSTICA FEDERAL</v>
      </c>
      <c r="F17" s="32" t="str">
        <f>+'Access-Fev'!H17</f>
        <v>ATIVOS CIVIS DA UNIAO</v>
      </c>
      <c r="G17" s="31" t="str">
        <f>IF('Access-Fev'!I17="1","F","S")</f>
        <v>F</v>
      </c>
      <c r="H17" s="31" t="str">
        <f>+'Access-Fev'!J17</f>
        <v>0100</v>
      </c>
      <c r="I17" s="32" t="str">
        <f>+'Access-Fev'!K17</f>
        <v>RECURSOS ORDINARIOS</v>
      </c>
      <c r="J17" s="31" t="str">
        <f>+'Access-Fev'!L17</f>
        <v>1</v>
      </c>
      <c r="K17" s="34"/>
      <c r="L17" s="34"/>
      <c r="M17" s="34"/>
      <c r="N17" s="50">
        <f t="shared" si="0"/>
        <v>0</v>
      </c>
      <c r="O17" s="34"/>
      <c r="P17" s="34">
        <f>'Access-Fev'!M17</f>
        <v>75696682.560000002</v>
      </c>
      <c r="Q17" s="34"/>
      <c r="R17" s="34">
        <f t="shared" si="1"/>
        <v>75696682.560000002</v>
      </c>
      <c r="S17" s="39">
        <f>'Access-Fev'!N17</f>
        <v>75078164.790000007</v>
      </c>
      <c r="T17" s="35">
        <f t="shared" si="2"/>
        <v>0.99182899766433308</v>
      </c>
      <c r="U17" s="34">
        <f>'Access-Fev'!O17</f>
        <v>75075928.680000007</v>
      </c>
      <c r="V17" s="35">
        <f t="shared" si="3"/>
        <v>0.99179945726805185</v>
      </c>
      <c r="W17" s="34">
        <f>'Access-Fev'!P17</f>
        <v>73385485.200000003</v>
      </c>
      <c r="X17" s="35">
        <f t="shared" si="4"/>
        <v>0.96946765324665241</v>
      </c>
    </row>
    <row r="18" spans="1:24" ht="25.5" customHeight="1" x14ac:dyDescent="0.2">
      <c r="A18" s="31" t="str">
        <f>+'Access-Fev'!A18</f>
        <v>12104</v>
      </c>
      <c r="B18" s="32" t="str">
        <f>+'Access-Fev'!B18</f>
        <v>TRIBUNAL REGIONAL FEDERAL DA 3A. REGIAO</v>
      </c>
      <c r="C18" s="31" t="str">
        <f>CONCATENATE('Access-Fev'!C18,".",'Access-Fev'!D18)</f>
        <v>02.122</v>
      </c>
      <c r="D18" s="31" t="str">
        <f>CONCATENATE('Access-Fev'!E18,".",'Access-Fev'!G18)</f>
        <v>0569.216H</v>
      </c>
      <c r="E18" s="32" t="str">
        <f>+'Access-Fev'!F18</f>
        <v>PRESTACAO JURISDICIONAL NA JUSTICA FEDERAL</v>
      </c>
      <c r="F18" s="32" t="str">
        <f>+'Access-Fev'!H18</f>
        <v>AJUDA DE CUSTO PARA MORADIA OU AUXILIO-MORADIA A AGENTES PUB</v>
      </c>
      <c r="G18" s="31" t="str">
        <f>IF('Access-Fev'!I18="1","F","S")</f>
        <v>F</v>
      </c>
      <c r="H18" s="31" t="str">
        <f>+'Access-Fev'!J18</f>
        <v>0100</v>
      </c>
      <c r="I18" s="32" t="str">
        <f>+'Access-Fev'!K18</f>
        <v>RECURSOS ORDINARIOS</v>
      </c>
      <c r="J18" s="31" t="str">
        <f>+'Access-Fev'!L18</f>
        <v>3</v>
      </c>
      <c r="K18" s="50"/>
      <c r="L18" s="50"/>
      <c r="M18" s="50"/>
      <c r="N18" s="50">
        <f t="shared" si="0"/>
        <v>0</v>
      </c>
      <c r="O18" s="50"/>
      <c r="P18" s="34">
        <f>'Access-Fev'!M18</f>
        <v>2442858</v>
      </c>
      <c r="Q18" s="34"/>
      <c r="R18" s="34">
        <f t="shared" si="1"/>
        <v>2442858</v>
      </c>
      <c r="S18" s="39">
        <f>'Access-Fev'!N18</f>
        <v>373943.88</v>
      </c>
      <c r="T18" s="35">
        <f t="shared" si="2"/>
        <v>0.1530763883942497</v>
      </c>
      <c r="U18" s="34">
        <f>'Access-Fev'!O18</f>
        <v>373943.88</v>
      </c>
      <c r="V18" s="35">
        <f t="shared" si="3"/>
        <v>0.1530763883942497</v>
      </c>
      <c r="W18" s="34">
        <f>'Access-Fev'!P18</f>
        <v>373943.88</v>
      </c>
      <c r="X18" s="35">
        <f t="shared" si="4"/>
        <v>0.1530763883942497</v>
      </c>
    </row>
    <row r="19" spans="1:24" ht="25.5" customHeight="1" x14ac:dyDescent="0.2">
      <c r="A19" s="31" t="str">
        <f>+'Access-Fev'!A19</f>
        <v>12104</v>
      </c>
      <c r="B19" s="32" t="str">
        <f>+'Access-Fev'!B19</f>
        <v>TRIBUNAL REGIONAL FEDERAL DA 3A. REGIAO</v>
      </c>
      <c r="C19" s="31" t="str">
        <f>CONCATENATE('Access-Fev'!C19,".",'Access-Fev'!D19)</f>
        <v>02.126</v>
      </c>
      <c r="D19" s="31" t="str">
        <f>CONCATENATE('Access-Fev'!E19,".",'Access-Fev'!G19)</f>
        <v>0569.151W</v>
      </c>
      <c r="E19" s="32" t="str">
        <f>+'Access-Fev'!F19</f>
        <v>PRESTACAO JURISDICIONAL NA JUSTICA FEDERAL</v>
      </c>
      <c r="F19" s="32" t="str">
        <f>+'Access-Fev'!H19</f>
        <v>DESENVOLVIMENTO E IMPLANTACAO DO SISTEMA PROCESSO JUDICIAL E</v>
      </c>
      <c r="G19" s="31" t="str">
        <f>IF('Access-Fev'!I19="1","F","S")</f>
        <v>F</v>
      </c>
      <c r="H19" s="31" t="str">
        <f>+'Access-Fev'!J19</f>
        <v>0100</v>
      </c>
      <c r="I19" s="32" t="str">
        <f>+'Access-Fev'!K19</f>
        <v>RECURSOS ORDINARIOS</v>
      </c>
      <c r="J19" s="31" t="str">
        <f>+'Access-Fev'!L19</f>
        <v>4</v>
      </c>
      <c r="K19" s="50"/>
      <c r="L19" s="50"/>
      <c r="M19" s="50"/>
      <c r="N19" s="50">
        <f t="shared" si="0"/>
        <v>0</v>
      </c>
      <c r="O19" s="50"/>
      <c r="P19" s="34">
        <f>'Access-Fev'!M19</f>
        <v>658450</v>
      </c>
      <c r="Q19" s="34"/>
      <c r="R19" s="34">
        <f t="shared" si="1"/>
        <v>658450</v>
      </c>
      <c r="S19" s="39">
        <f>'Access-Fev'!N19</f>
        <v>0</v>
      </c>
      <c r="T19" s="35">
        <f t="shared" si="2"/>
        <v>0</v>
      </c>
      <c r="U19" s="34">
        <f>'Access-Fev'!O19</f>
        <v>0</v>
      </c>
      <c r="V19" s="35">
        <f t="shared" si="3"/>
        <v>0</v>
      </c>
      <c r="W19" s="34">
        <f>'Access-Fev'!P19</f>
        <v>0</v>
      </c>
      <c r="X19" s="35">
        <f t="shared" si="4"/>
        <v>0</v>
      </c>
    </row>
    <row r="20" spans="1:24" ht="25.5" customHeight="1" x14ac:dyDescent="0.2">
      <c r="A20" s="31" t="str">
        <f>+'Access-Fev'!A20</f>
        <v>12104</v>
      </c>
      <c r="B20" s="32" t="str">
        <f>+'Access-Fev'!B20</f>
        <v>TRIBUNAL REGIONAL FEDERAL DA 3A. REGIAO</v>
      </c>
      <c r="C20" s="31" t="str">
        <f>CONCATENATE('Access-Fev'!C20,".",'Access-Fev'!D20)</f>
        <v>02.126</v>
      </c>
      <c r="D20" s="31" t="str">
        <f>CONCATENATE('Access-Fev'!E20,".",'Access-Fev'!G20)</f>
        <v>0569.151W</v>
      </c>
      <c r="E20" s="32" t="str">
        <f>+'Access-Fev'!F20</f>
        <v>PRESTACAO JURISDICIONAL NA JUSTICA FEDERAL</v>
      </c>
      <c r="F20" s="32" t="str">
        <f>+'Access-Fev'!H20</f>
        <v>DESENVOLVIMENTO E IMPLANTACAO DO SISTEMA PROCESSO JUDICIAL E</v>
      </c>
      <c r="G20" s="31" t="str">
        <f>IF('Access-Fev'!I20="1","F","S")</f>
        <v>F</v>
      </c>
      <c r="H20" s="31" t="str">
        <f>+'Access-Fev'!J20</f>
        <v>0100</v>
      </c>
      <c r="I20" s="32" t="str">
        <f>+'Access-Fev'!K20</f>
        <v>RECURSOS ORDINARIOS</v>
      </c>
      <c r="J20" s="31" t="str">
        <f>+'Access-Fev'!L20</f>
        <v>3</v>
      </c>
      <c r="K20" s="50"/>
      <c r="L20" s="50"/>
      <c r="M20" s="50"/>
      <c r="N20" s="50">
        <f t="shared" si="0"/>
        <v>0</v>
      </c>
      <c r="O20" s="50"/>
      <c r="P20" s="34">
        <f>'Access-Fev'!M20</f>
        <v>603773</v>
      </c>
      <c r="Q20" s="34"/>
      <c r="R20" s="34">
        <f t="shared" si="1"/>
        <v>603773</v>
      </c>
      <c r="S20" s="39">
        <f>'Access-Fev'!N20</f>
        <v>594734</v>
      </c>
      <c r="T20" s="35">
        <f t="shared" si="2"/>
        <v>0.98502914174698109</v>
      </c>
      <c r="U20" s="34">
        <f>'Access-Fev'!O20</f>
        <v>0</v>
      </c>
      <c r="V20" s="35">
        <f t="shared" si="3"/>
        <v>0</v>
      </c>
      <c r="W20" s="34">
        <f>'Access-Fev'!P20</f>
        <v>0</v>
      </c>
      <c r="X20" s="35">
        <f t="shared" si="4"/>
        <v>0</v>
      </c>
    </row>
    <row r="21" spans="1:24" ht="25.5" customHeight="1" x14ac:dyDescent="0.2">
      <c r="A21" s="31" t="str">
        <f>+'Access-Fev'!A21</f>
        <v>12104</v>
      </c>
      <c r="B21" s="32" t="str">
        <f>+'Access-Fev'!B21</f>
        <v>TRIBUNAL REGIONAL FEDERAL DA 3A. REGIAO</v>
      </c>
      <c r="C21" s="31" t="str">
        <f>CONCATENATE('Access-Fev'!C21,".",'Access-Fev'!D21)</f>
        <v>02.131</v>
      </c>
      <c r="D21" s="31" t="str">
        <f>CONCATENATE('Access-Fev'!E21,".",'Access-Fev'!G21)</f>
        <v>0569.2549</v>
      </c>
      <c r="E21" s="32" t="str">
        <f>+'Access-Fev'!F21</f>
        <v>PRESTACAO JURISDICIONAL NA JUSTICA FEDERAL</v>
      </c>
      <c r="F21" s="32" t="str">
        <f>+'Access-Fev'!H21</f>
        <v>COMUNICACAO E DIVULGACAO INSTITUCIONAL</v>
      </c>
      <c r="G21" s="31" t="str">
        <f>IF('Access-Fev'!I21="1","F","S")</f>
        <v>F</v>
      </c>
      <c r="H21" s="31" t="str">
        <f>+'Access-Fev'!J21</f>
        <v>0100</v>
      </c>
      <c r="I21" s="32" t="str">
        <f>+'Access-Fev'!K21</f>
        <v>RECURSOS ORDINARIOS</v>
      </c>
      <c r="J21" s="31" t="str">
        <f>+'Access-Fev'!L21</f>
        <v>3</v>
      </c>
      <c r="K21" s="50"/>
      <c r="L21" s="50"/>
      <c r="M21" s="50"/>
      <c r="N21" s="50">
        <f t="shared" si="0"/>
        <v>0</v>
      </c>
      <c r="O21" s="50"/>
      <c r="P21" s="34">
        <f>'Access-Fev'!M21</f>
        <v>560609</v>
      </c>
      <c r="Q21" s="34"/>
      <c r="R21" s="34">
        <f t="shared" si="1"/>
        <v>560609</v>
      </c>
      <c r="S21" s="39">
        <f>'Access-Fev'!N21</f>
        <v>483456.48</v>
      </c>
      <c r="T21" s="35">
        <f t="shared" si="2"/>
        <v>0.86237730753519826</v>
      </c>
      <c r="U21" s="34">
        <f>'Access-Fev'!O21</f>
        <v>41762.71</v>
      </c>
      <c r="V21" s="35">
        <f t="shared" si="3"/>
        <v>7.4495254268126268E-2</v>
      </c>
      <c r="W21" s="34">
        <f>'Access-Fev'!P21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+'Access-Fev'!A22</f>
        <v>12104</v>
      </c>
      <c r="B22" s="32" t="str">
        <f>+'Access-Fev'!B22</f>
        <v>TRIBUNAL REGIONAL FEDERAL DA 3A. REGIAO</v>
      </c>
      <c r="C22" s="31" t="str">
        <f>CONCATENATE('Access-Fev'!C22,".",'Access-Fev'!D22)</f>
        <v>02.301</v>
      </c>
      <c r="D22" s="31" t="str">
        <f>CONCATENATE('Access-Fev'!E22,".",'Access-Fev'!G22)</f>
        <v>0569.2004</v>
      </c>
      <c r="E22" s="32" t="str">
        <f>+'Access-Fev'!F22</f>
        <v>PRESTACAO JURISDICIONAL NA JUSTICA FEDERAL</v>
      </c>
      <c r="F22" s="32" t="str">
        <f>+'Access-Fev'!H22</f>
        <v>ASSISTENCIA MEDICA E ODONTOLOGICA AOS SERVIDORES CIVIS, EMPR</v>
      </c>
      <c r="G22" s="31" t="str">
        <f>IF('Access-Fev'!I22="1","F","S")</f>
        <v>S</v>
      </c>
      <c r="H22" s="31" t="str">
        <f>+'Access-Fev'!J22</f>
        <v>0100</v>
      </c>
      <c r="I22" s="32" t="str">
        <f>+'Access-Fev'!K22</f>
        <v>RECURSOS ORDINARIOS</v>
      </c>
      <c r="J22" s="31" t="str">
        <f>+'Access-Fev'!L22</f>
        <v>4</v>
      </c>
      <c r="K22" s="50"/>
      <c r="L22" s="50"/>
      <c r="M22" s="50"/>
      <c r="N22" s="50">
        <f t="shared" si="0"/>
        <v>0</v>
      </c>
      <c r="O22" s="50"/>
      <c r="P22" s="34">
        <f>'Access-Fev'!M22</f>
        <v>15000</v>
      </c>
      <c r="Q22" s="34"/>
      <c r="R22" s="34">
        <f t="shared" si="1"/>
        <v>15000</v>
      </c>
      <c r="S22" s="39">
        <f>'Access-Fev'!N22</f>
        <v>0</v>
      </c>
      <c r="T22" s="35">
        <f t="shared" si="2"/>
        <v>0</v>
      </c>
      <c r="U22" s="34">
        <f>'Access-Fev'!O22</f>
        <v>0</v>
      </c>
      <c r="V22" s="35">
        <f t="shared" si="3"/>
        <v>0</v>
      </c>
      <c r="W22" s="34">
        <f>'Access-Fev'!P22</f>
        <v>0</v>
      </c>
      <c r="X22" s="35">
        <f t="shared" si="4"/>
        <v>0</v>
      </c>
    </row>
    <row r="23" spans="1:24" ht="25.5" customHeight="1" x14ac:dyDescent="0.2">
      <c r="A23" s="31" t="str">
        <f>+'Access-Fev'!A23</f>
        <v>12104</v>
      </c>
      <c r="B23" s="32" t="str">
        <f>+'Access-Fev'!B23</f>
        <v>TRIBUNAL REGIONAL FEDERAL DA 3A. REGIAO</v>
      </c>
      <c r="C23" s="31" t="str">
        <f>CONCATENATE('Access-Fev'!C23,".",'Access-Fev'!D23)</f>
        <v>02.301</v>
      </c>
      <c r="D23" s="31" t="str">
        <f>CONCATENATE('Access-Fev'!E23,".",'Access-Fev'!G23)</f>
        <v>0569.2004</v>
      </c>
      <c r="E23" s="32" t="str">
        <f>+'Access-Fev'!F23</f>
        <v>PRESTACAO JURISDICIONAL NA JUSTICA FEDERAL</v>
      </c>
      <c r="F23" s="32" t="str">
        <f>+'Access-Fev'!H23</f>
        <v>ASSISTENCIA MEDICA E ODONTOLOGICA AOS SERVIDORES CIVIS, EMPR</v>
      </c>
      <c r="G23" s="31" t="str">
        <f>IF('Access-Fev'!I23="1","F","S")</f>
        <v>S</v>
      </c>
      <c r="H23" s="31" t="str">
        <f>+'Access-Fev'!J23</f>
        <v>0100</v>
      </c>
      <c r="I23" s="32" t="str">
        <f>+'Access-Fev'!K23</f>
        <v>RECURSOS ORDINARIOS</v>
      </c>
      <c r="J23" s="31" t="str">
        <f>+'Access-Fev'!L23</f>
        <v>3</v>
      </c>
      <c r="K23" s="50"/>
      <c r="L23" s="50"/>
      <c r="M23" s="50"/>
      <c r="N23" s="50">
        <f t="shared" si="0"/>
        <v>0</v>
      </c>
      <c r="O23" s="50"/>
      <c r="P23" s="34">
        <f>'Access-Fev'!M23</f>
        <v>12111000</v>
      </c>
      <c r="Q23" s="34"/>
      <c r="R23" s="34">
        <f t="shared" si="1"/>
        <v>12111000</v>
      </c>
      <c r="S23" s="39">
        <f>'Access-Fev'!N23</f>
        <v>7893400</v>
      </c>
      <c r="T23" s="35">
        <f t="shared" si="2"/>
        <v>0.65175460325324086</v>
      </c>
      <c r="U23" s="34">
        <f>'Access-Fev'!O23</f>
        <v>1077455.67</v>
      </c>
      <c r="V23" s="35">
        <f t="shared" si="3"/>
        <v>8.8965045826108494E-2</v>
      </c>
      <c r="W23" s="34">
        <f>'Access-Fev'!P23</f>
        <v>1077455.67</v>
      </c>
      <c r="X23" s="35">
        <f t="shared" si="4"/>
        <v>8.8965045826108494E-2</v>
      </c>
    </row>
    <row r="24" spans="1:24" ht="25.5" customHeight="1" x14ac:dyDescent="0.2">
      <c r="A24" s="31" t="str">
        <f>+'Access-Fev'!A24</f>
        <v>12104</v>
      </c>
      <c r="B24" s="32" t="str">
        <f>+'Access-Fev'!B24</f>
        <v>TRIBUNAL REGIONAL FEDERAL DA 3A. REGIAO</v>
      </c>
      <c r="C24" s="31" t="str">
        <f>CONCATENATE('Access-Fev'!C24,".",'Access-Fev'!D24)</f>
        <v>02.331</v>
      </c>
      <c r="D24" s="31" t="str">
        <f>CONCATENATE('Access-Fev'!E24,".",'Access-Fev'!G24)</f>
        <v>0569.212B</v>
      </c>
      <c r="E24" s="32" t="str">
        <f>+'Access-Fev'!F24</f>
        <v>PRESTACAO JURISDICIONAL NA JUSTICA FEDERAL</v>
      </c>
      <c r="F24" s="32" t="str">
        <f>+'Access-Fev'!H24</f>
        <v>BENEFICIOS OBRIGATORIOS AOS SERVIDORES CIVIS, EMPREGADOS, MI</v>
      </c>
      <c r="G24" s="31" t="str">
        <f>IF('Access-Fev'!I24="1","F","S")</f>
        <v>F</v>
      </c>
      <c r="H24" s="31" t="str">
        <f>+'Access-Fev'!J24</f>
        <v>0100</v>
      </c>
      <c r="I24" s="32" t="str">
        <f>+'Access-Fev'!K24</f>
        <v>RECURSOS ORDINARIOS</v>
      </c>
      <c r="J24" s="31" t="str">
        <f>+'Access-Fev'!L24</f>
        <v>3</v>
      </c>
      <c r="K24" s="50"/>
      <c r="L24" s="50"/>
      <c r="M24" s="50"/>
      <c r="N24" s="50">
        <f t="shared" si="0"/>
        <v>0</v>
      </c>
      <c r="O24" s="50"/>
      <c r="P24" s="34">
        <f>'Access-Fev'!M24</f>
        <v>22987697.920000002</v>
      </c>
      <c r="Q24" s="34"/>
      <c r="R24" s="34">
        <f t="shared" si="1"/>
        <v>22987697.920000002</v>
      </c>
      <c r="S24" s="39">
        <f>'Access-Fev'!N24</f>
        <v>22987697.920000002</v>
      </c>
      <c r="T24" s="35">
        <f t="shared" si="2"/>
        <v>1</v>
      </c>
      <c r="U24" s="34">
        <f>'Access-Fev'!O24</f>
        <v>3751410.45</v>
      </c>
      <c r="V24" s="35">
        <f t="shared" si="3"/>
        <v>0.16319208922334752</v>
      </c>
      <c r="W24" s="34">
        <f>'Access-Fev'!P24</f>
        <v>3751410.45</v>
      </c>
      <c r="X24" s="35">
        <f t="shared" si="4"/>
        <v>0.16319208922334752</v>
      </c>
    </row>
    <row r="25" spans="1:24" ht="25.5" customHeight="1" x14ac:dyDescent="0.2">
      <c r="A25" s="31" t="str">
        <f>+'Access-Fev'!A25</f>
        <v>12104</v>
      </c>
      <c r="B25" s="32" t="str">
        <f>+'Access-Fev'!B25</f>
        <v>TRIBUNAL REGIONAL FEDERAL DA 3A. REGIAO</v>
      </c>
      <c r="C25" s="31" t="str">
        <f>CONCATENATE('Access-Fev'!C25,".",'Access-Fev'!D25)</f>
        <v>02.846</v>
      </c>
      <c r="D25" s="31" t="str">
        <f>CONCATENATE('Access-Fev'!E25,".",'Access-Fev'!G25)</f>
        <v>0569.09HB</v>
      </c>
      <c r="E25" s="32" t="str">
        <f>+'Access-Fev'!F25</f>
        <v>PRESTACAO JURISDICIONAL NA JUSTICA FEDERAL</v>
      </c>
      <c r="F25" s="32" t="str">
        <f>+'Access-Fev'!H25</f>
        <v>CONTRIBUICAO DA UNIAO, DE SUAS AUTARQUIAS E FUNDACOES PARA O</v>
      </c>
      <c r="G25" s="31" t="str">
        <f>IF('Access-Fev'!I25="1","F","S")</f>
        <v>F</v>
      </c>
      <c r="H25" s="31" t="str">
        <f>+'Access-Fev'!J25</f>
        <v>0100</v>
      </c>
      <c r="I25" s="32" t="str">
        <f>+'Access-Fev'!K25</f>
        <v>RECURSOS ORDINARIOS</v>
      </c>
      <c r="J25" s="31" t="str">
        <f>+'Access-Fev'!L25</f>
        <v>1</v>
      </c>
      <c r="K25" s="50"/>
      <c r="L25" s="50"/>
      <c r="M25" s="50"/>
      <c r="N25" s="50">
        <f t="shared" si="0"/>
        <v>0</v>
      </c>
      <c r="O25" s="50"/>
      <c r="P25" s="34">
        <f>'Access-Fev'!M25</f>
        <v>10648289.24</v>
      </c>
      <c r="Q25" s="34"/>
      <c r="R25" s="34">
        <f t="shared" si="1"/>
        <v>10648289.24</v>
      </c>
      <c r="S25" s="39">
        <f>'Access-Fev'!N25</f>
        <v>10648289.24</v>
      </c>
      <c r="T25" s="35">
        <f t="shared" si="2"/>
        <v>1</v>
      </c>
      <c r="U25" s="34">
        <f>'Access-Fev'!O25</f>
        <v>10648289.24</v>
      </c>
      <c r="V25" s="35">
        <f t="shared" si="3"/>
        <v>1</v>
      </c>
      <c r="W25" s="34">
        <f>'Access-Fev'!P25</f>
        <v>10648289.24</v>
      </c>
      <c r="X25" s="35">
        <f t="shared" si="4"/>
        <v>1</v>
      </c>
    </row>
    <row r="26" spans="1:24" ht="25.5" customHeight="1" x14ac:dyDescent="0.2">
      <c r="A26" s="31" t="str">
        <f>+'Access-Fev'!A26</f>
        <v>12104</v>
      </c>
      <c r="B26" s="32" t="str">
        <f>+'Access-Fev'!B26</f>
        <v>TRIBUNAL REGIONAL FEDERAL DA 3A. REGIAO</v>
      </c>
      <c r="C26" s="31" t="str">
        <f>CONCATENATE('Access-Fev'!C26,".",'Access-Fev'!D26)</f>
        <v>09.272</v>
      </c>
      <c r="D26" s="31" t="str">
        <f>CONCATENATE('Access-Fev'!E26,".",'Access-Fev'!G26)</f>
        <v>0089.0181</v>
      </c>
      <c r="E26" s="32" t="str">
        <f>+'Access-Fev'!F26</f>
        <v>PREVIDENCIA DE INATIVOS E PENSIONISTAS DA UNIAO</v>
      </c>
      <c r="F26" s="32" t="str">
        <f>+'Access-Fev'!H26</f>
        <v>APOSENTADORIAS E PENSOES CIVIS DA UNIAO</v>
      </c>
      <c r="G26" s="31" t="str">
        <f>IF('Access-Fev'!I26="1","F","S")</f>
        <v>S</v>
      </c>
      <c r="H26" s="31" t="str">
        <f>+'Access-Fev'!J26</f>
        <v>0169</v>
      </c>
      <c r="I26" s="32" t="str">
        <f>+'Access-Fev'!K26</f>
        <v>CONTRIB.PATRONAL P/PLANO DE SEGURID.SOC.SERV.</v>
      </c>
      <c r="J26" s="31" t="str">
        <f>+'Access-Fev'!L26</f>
        <v>1</v>
      </c>
      <c r="K26" s="50"/>
      <c r="L26" s="50"/>
      <c r="M26" s="50"/>
      <c r="N26" s="50">
        <f t="shared" si="0"/>
        <v>0</v>
      </c>
      <c r="O26" s="50"/>
      <c r="P26" s="34">
        <f>'Access-Fev'!M26</f>
        <v>21353983.920000002</v>
      </c>
      <c r="Q26" s="34"/>
      <c r="R26" s="34">
        <f t="shared" si="1"/>
        <v>21353983.920000002</v>
      </c>
      <c r="S26" s="39">
        <f>'Access-Fev'!N26</f>
        <v>21353983.920000002</v>
      </c>
      <c r="T26" s="35">
        <f t="shared" si="2"/>
        <v>1</v>
      </c>
      <c r="U26" s="34">
        <f>'Access-Fev'!O26</f>
        <v>21353983.920000002</v>
      </c>
      <c r="V26" s="35">
        <f t="shared" si="3"/>
        <v>1</v>
      </c>
      <c r="W26" s="34">
        <f>'Access-Fev'!P26</f>
        <v>20848456.350000001</v>
      </c>
      <c r="X26" s="35">
        <f t="shared" si="4"/>
        <v>0.97632631119823376</v>
      </c>
    </row>
    <row r="27" spans="1:24" ht="25.5" customHeight="1" thickBot="1" x14ac:dyDescent="0.25">
      <c r="A27" s="31" t="str">
        <f>+'Access-Fev'!A27</f>
        <v>12104</v>
      </c>
      <c r="B27" s="32" t="str">
        <f>+'Access-Fev'!B27</f>
        <v>TRIBUNAL REGIONAL FEDERAL DA 3A. REGIAO</v>
      </c>
      <c r="C27" s="31" t="str">
        <f>CONCATENATE('Access-Fev'!C27,".",'Access-Fev'!D27)</f>
        <v>28.846</v>
      </c>
      <c r="D27" s="31" t="str">
        <f>CONCATENATE('Access-Fev'!E27,".",'Access-Fev'!G27)</f>
        <v>0909.0536</v>
      </c>
      <c r="E27" s="32" t="str">
        <f>+'Access-Fev'!F27</f>
        <v>OPERACOES ESPECIAIS: OUTROS ENCARGOS ESPECIAIS</v>
      </c>
      <c r="F27" s="32" t="str">
        <f>+'Access-Fev'!H27</f>
        <v>BENEFICIOS E PENSOES INDENIZATORIAS DECORRENTES DE LEGISLACA</v>
      </c>
      <c r="G27" s="31" t="str">
        <f>IF('Access-Fev'!I27="1","F","S")</f>
        <v>S</v>
      </c>
      <c r="H27" s="31" t="str">
        <f>+'Access-Fev'!J27</f>
        <v>0100</v>
      </c>
      <c r="I27" s="32" t="str">
        <f>+'Access-Fev'!K27</f>
        <v>RECURSOS ORDINARIOS</v>
      </c>
      <c r="J27" s="31" t="str">
        <f>+'Access-Fev'!L27</f>
        <v>3</v>
      </c>
      <c r="K27" s="50"/>
      <c r="L27" s="50"/>
      <c r="M27" s="50"/>
      <c r="N27" s="50">
        <f t="shared" si="0"/>
        <v>0</v>
      </c>
      <c r="O27" s="50"/>
      <c r="P27" s="34">
        <f>'Access-Fev'!M27</f>
        <v>18684</v>
      </c>
      <c r="Q27" s="34"/>
      <c r="R27" s="34">
        <f t="shared" si="1"/>
        <v>18684</v>
      </c>
      <c r="S27" s="39">
        <f>'Access-Fev'!N27</f>
        <v>18684</v>
      </c>
      <c r="T27" s="35">
        <f t="shared" si="2"/>
        <v>1</v>
      </c>
      <c r="U27" s="34">
        <f>'Access-Fev'!O27</f>
        <v>2977.19</v>
      </c>
      <c r="V27" s="35">
        <f t="shared" si="3"/>
        <v>0.15934435880967673</v>
      </c>
      <c r="W27" s="34">
        <f>'Access-Fev'!P27</f>
        <v>2977.19</v>
      </c>
      <c r="X27" s="35">
        <f t="shared" si="4"/>
        <v>0.15934435880967673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230298633.64000005</v>
      </c>
      <c r="Q28" s="52">
        <f>SUM(Q10:Q27)</f>
        <v>0</v>
      </c>
      <c r="R28" s="52">
        <f>SUM(R10:R27)</f>
        <v>230298633.64000005</v>
      </c>
      <c r="S28" s="52">
        <f>SUM(S10:S27)</f>
        <v>180920212.77000004</v>
      </c>
      <c r="T28" s="43">
        <f t="shared" si="2"/>
        <v>0.78558960559363222</v>
      </c>
      <c r="U28" s="52">
        <f>SUM(U10:U27)</f>
        <v>117025256.36</v>
      </c>
      <c r="V28" s="43">
        <f t="shared" si="3"/>
        <v>0.50814568245738023</v>
      </c>
      <c r="W28" s="52">
        <f>SUM(W10:W27)</f>
        <v>112825717.75</v>
      </c>
      <c r="X28" s="43">
        <f t="shared" si="4"/>
        <v>0.48991049563223965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4" t="s">
        <v>16</v>
      </c>
      <c r="O31" s="74"/>
      <c r="P31" s="54">
        <f>SUM(P10:P27)</f>
        <v>230298633.64000005</v>
      </c>
      <c r="Q31" s="54"/>
      <c r="R31" s="54">
        <f>SUM(R10:R27)</f>
        <v>230298633.64000005</v>
      </c>
      <c r="S31" s="54">
        <f>SUM(S10:S27)</f>
        <v>180920212.77000004</v>
      </c>
      <c r="T31" s="54"/>
      <c r="U31" s="54">
        <f>SUM(U10:U27)</f>
        <v>117025256.36</v>
      </c>
      <c r="V31" s="54"/>
      <c r="W31" s="54">
        <f>SUM(W10:W27)</f>
        <v>112825717.75</v>
      </c>
    </row>
    <row r="32" spans="1:24" ht="25.5" customHeight="1" x14ac:dyDescent="0.2">
      <c r="N32" s="74" t="s">
        <v>132</v>
      </c>
      <c r="O32" s="74"/>
      <c r="P32" s="37">
        <f>'Access-Fev'!M29</f>
        <v>230298633.64000005</v>
      </c>
      <c r="Q32" s="37"/>
      <c r="R32" s="37">
        <f>'Access-Fev'!M29</f>
        <v>230298633.64000005</v>
      </c>
      <c r="S32" s="37">
        <f>'Access-Fev'!N29</f>
        <v>180920212.77000004</v>
      </c>
      <c r="T32" s="37"/>
      <c r="U32" s="37">
        <f>'Access-Fev'!O29</f>
        <v>117025256.36</v>
      </c>
      <c r="V32" s="37"/>
      <c r="W32" s="37">
        <f>'Access-Fev'!P29</f>
        <v>112825717.75</v>
      </c>
    </row>
    <row r="33" spans="14:23" ht="25.5" customHeight="1" x14ac:dyDescent="0.2">
      <c r="N33" s="74" t="s">
        <v>17</v>
      </c>
      <c r="O33" s="74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145</v>
      </c>
      <c r="P35" s="67">
        <f>229633319.64+665314</f>
        <v>230298633.63999999</v>
      </c>
      <c r="R35" s="67">
        <f>229633319.64+665314</f>
        <v>230298633.63999999</v>
      </c>
      <c r="S35" s="1">
        <f>180259376.96+660835.81</f>
        <v>180920212.77000001</v>
      </c>
      <c r="U35" s="1">
        <f>116864563.15+160693.21</f>
        <v>117025256.36</v>
      </c>
      <c r="W35" s="1">
        <f>112679438.17+146279.58</f>
        <v>112825717.75</v>
      </c>
    </row>
    <row r="36" spans="14:23" ht="25.5" customHeight="1" x14ac:dyDescent="0.2">
      <c r="N36" s="74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H8:I8"/>
    <mergeCell ref="J8:J9"/>
    <mergeCell ref="A28:J28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A33" sqref="A33:XFD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59" t="s">
        <v>120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1:16" ht="10.5" customHeight="1" x14ac:dyDescent="0.2">
      <c r="A3" s="59" t="s">
        <v>121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10.5" customHeight="1" x14ac:dyDescent="0.2">
      <c r="A4" s="101" t="s">
        <v>142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10.5" customHeight="1" x14ac:dyDescent="0.2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x14ac:dyDescent="0.2">
      <c r="A6" s="59" t="s">
        <v>23</v>
      </c>
      <c r="B6" s="59"/>
      <c r="C6" s="59" t="s">
        <v>24</v>
      </c>
      <c r="D6" s="59" t="s">
        <v>25</v>
      </c>
      <c r="E6" s="59" t="s">
        <v>26</v>
      </c>
      <c r="F6" s="59"/>
      <c r="G6" s="59" t="s">
        <v>27</v>
      </c>
      <c r="H6" s="59"/>
      <c r="I6" s="59" t="s">
        <v>28</v>
      </c>
      <c r="J6" s="59" t="s">
        <v>29</v>
      </c>
      <c r="K6" s="59" t="s">
        <v>30</v>
      </c>
      <c r="L6" s="59" t="s">
        <v>31</v>
      </c>
      <c r="M6" s="59" t="s">
        <v>32</v>
      </c>
      <c r="N6" s="59" t="s">
        <v>125</v>
      </c>
      <c r="O6" s="59" t="s">
        <v>126</v>
      </c>
      <c r="P6" s="59" t="s">
        <v>127</v>
      </c>
    </row>
    <row r="7" spans="1:16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 t="s">
        <v>33</v>
      </c>
      <c r="N7" s="59" t="s">
        <v>128</v>
      </c>
      <c r="O7" s="59" t="s">
        <v>129</v>
      </c>
      <c r="P7" s="59" t="s">
        <v>130</v>
      </c>
    </row>
    <row r="8" spans="1:16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 t="s">
        <v>34</v>
      </c>
      <c r="M8" s="59" t="s">
        <v>143</v>
      </c>
      <c r="N8" s="59" t="s">
        <v>143</v>
      </c>
      <c r="O8" s="59" t="s">
        <v>143</v>
      </c>
      <c r="P8" s="59" t="s">
        <v>143</v>
      </c>
    </row>
    <row r="9" spans="1:16" x14ac:dyDescent="0.2">
      <c r="A9" s="59" t="s">
        <v>140</v>
      </c>
      <c r="B9" s="59" t="s">
        <v>141</v>
      </c>
      <c r="C9" s="59" t="s">
        <v>35</v>
      </c>
      <c r="D9" s="59" t="s">
        <v>44</v>
      </c>
      <c r="E9" s="59" t="s">
        <v>37</v>
      </c>
      <c r="F9" s="59" t="s">
        <v>38</v>
      </c>
      <c r="G9" s="59" t="s">
        <v>47</v>
      </c>
      <c r="H9" s="59" t="s">
        <v>48</v>
      </c>
      <c r="I9" s="59" t="s">
        <v>11</v>
      </c>
      <c r="J9" s="59" t="s">
        <v>76</v>
      </c>
      <c r="K9" s="59" t="s">
        <v>122</v>
      </c>
      <c r="L9" s="59" t="s">
        <v>15</v>
      </c>
      <c r="M9" s="5">
        <v>0</v>
      </c>
      <c r="N9" s="59"/>
      <c r="O9" s="59"/>
      <c r="P9" s="59"/>
    </row>
    <row r="10" spans="1:16" x14ac:dyDescent="0.2">
      <c r="A10" s="59" t="s">
        <v>42</v>
      </c>
      <c r="B10" s="59" t="s">
        <v>43</v>
      </c>
      <c r="C10" s="59" t="s">
        <v>35</v>
      </c>
      <c r="D10" s="59" t="s">
        <v>44</v>
      </c>
      <c r="E10" s="59" t="s">
        <v>37</v>
      </c>
      <c r="F10" s="59" t="s">
        <v>38</v>
      </c>
      <c r="G10" s="59" t="s">
        <v>45</v>
      </c>
      <c r="H10" s="59" t="s">
        <v>46</v>
      </c>
      <c r="I10" s="59" t="s">
        <v>11</v>
      </c>
      <c r="J10" s="59" t="s">
        <v>20</v>
      </c>
      <c r="K10" s="59" t="s">
        <v>41</v>
      </c>
      <c r="L10" s="59" t="s">
        <v>14</v>
      </c>
      <c r="M10" s="5">
        <v>15000</v>
      </c>
      <c r="N10" s="5">
        <v>15000</v>
      </c>
      <c r="O10" s="5">
        <v>1302.73</v>
      </c>
      <c r="P10" s="5">
        <v>1302.73</v>
      </c>
    </row>
    <row r="11" spans="1:16" x14ac:dyDescent="0.2">
      <c r="A11" s="59" t="s">
        <v>42</v>
      </c>
      <c r="B11" s="59" t="s">
        <v>43</v>
      </c>
      <c r="C11" s="59" t="s">
        <v>35</v>
      </c>
      <c r="D11" s="59" t="s">
        <v>44</v>
      </c>
      <c r="E11" s="59" t="s">
        <v>37</v>
      </c>
      <c r="F11" s="59" t="s">
        <v>38</v>
      </c>
      <c r="G11" s="59" t="s">
        <v>47</v>
      </c>
      <c r="H11" s="59" t="s">
        <v>48</v>
      </c>
      <c r="I11" s="59" t="s">
        <v>11</v>
      </c>
      <c r="J11" s="59" t="s">
        <v>20</v>
      </c>
      <c r="K11" s="59" t="s">
        <v>41</v>
      </c>
      <c r="L11" s="59" t="s">
        <v>15</v>
      </c>
      <c r="M11" s="5">
        <v>3111880</v>
      </c>
      <c r="N11" s="5">
        <v>229717.83</v>
      </c>
      <c r="O11" s="5">
        <v>60915.51</v>
      </c>
      <c r="P11" s="5">
        <v>60915.51</v>
      </c>
    </row>
    <row r="12" spans="1:16" x14ac:dyDescent="0.2">
      <c r="A12" s="59" t="s">
        <v>42</v>
      </c>
      <c r="B12" s="59" t="s">
        <v>43</v>
      </c>
      <c r="C12" s="59" t="s">
        <v>35</v>
      </c>
      <c r="D12" s="59" t="s">
        <v>44</v>
      </c>
      <c r="E12" s="59" t="s">
        <v>37</v>
      </c>
      <c r="F12" s="59" t="s">
        <v>38</v>
      </c>
      <c r="G12" s="59" t="s">
        <v>47</v>
      </c>
      <c r="H12" s="59" t="s">
        <v>48</v>
      </c>
      <c r="I12" s="59" t="s">
        <v>11</v>
      </c>
      <c r="J12" s="59" t="s">
        <v>20</v>
      </c>
      <c r="K12" s="59" t="s">
        <v>41</v>
      </c>
      <c r="L12" s="59" t="s">
        <v>14</v>
      </c>
      <c r="M12" s="5">
        <v>48017851</v>
      </c>
      <c r="N12" s="5">
        <v>41691411.090000004</v>
      </c>
      <c r="O12" s="5">
        <v>21290111.699999999</v>
      </c>
      <c r="P12" s="5">
        <v>20043921.07</v>
      </c>
    </row>
    <row r="13" spans="1:16" x14ac:dyDescent="0.2">
      <c r="A13" s="59" t="s">
        <v>42</v>
      </c>
      <c r="B13" s="59" t="s">
        <v>43</v>
      </c>
      <c r="C13" s="59" t="s">
        <v>35</v>
      </c>
      <c r="D13" s="59" t="s">
        <v>44</v>
      </c>
      <c r="E13" s="59" t="s">
        <v>37</v>
      </c>
      <c r="F13" s="59" t="s">
        <v>38</v>
      </c>
      <c r="G13" s="59" t="s">
        <v>47</v>
      </c>
      <c r="H13" s="59" t="s">
        <v>48</v>
      </c>
      <c r="I13" s="59" t="s">
        <v>11</v>
      </c>
      <c r="J13" s="59" t="s">
        <v>21</v>
      </c>
      <c r="K13" s="59" t="s">
        <v>49</v>
      </c>
      <c r="L13" s="59" t="s">
        <v>14</v>
      </c>
      <c r="M13" s="5">
        <v>6790890</v>
      </c>
      <c r="N13" s="5">
        <v>6790890</v>
      </c>
      <c r="O13" s="5">
        <v>4550575.07</v>
      </c>
      <c r="P13" s="5">
        <v>4321531.5</v>
      </c>
    </row>
    <row r="14" spans="1:16" x14ac:dyDescent="0.2">
      <c r="A14" s="59" t="s">
        <v>42</v>
      </c>
      <c r="B14" s="59" t="s">
        <v>43</v>
      </c>
      <c r="C14" s="59" t="s">
        <v>35</v>
      </c>
      <c r="D14" s="59" t="s">
        <v>44</v>
      </c>
      <c r="E14" s="59" t="s">
        <v>37</v>
      </c>
      <c r="F14" s="59" t="s">
        <v>38</v>
      </c>
      <c r="G14" s="59" t="s">
        <v>47</v>
      </c>
      <c r="H14" s="59" t="s">
        <v>48</v>
      </c>
      <c r="I14" s="59" t="s">
        <v>11</v>
      </c>
      <c r="J14" s="59" t="s">
        <v>22</v>
      </c>
      <c r="K14" s="59" t="s">
        <v>50</v>
      </c>
      <c r="L14" s="59" t="s">
        <v>14</v>
      </c>
      <c r="M14" s="5">
        <v>800000</v>
      </c>
      <c r="N14" s="59"/>
      <c r="O14" s="59"/>
      <c r="P14" s="59"/>
    </row>
    <row r="15" spans="1:16" x14ac:dyDescent="0.2">
      <c r="A15" s="59" t="s">
        <v>42</v>
      </c>
      <c r="B15" s="59" t="s">
        <v>43</v>
      </c>
      <c r="C15" s="59" t="s">
        <v>35</v>
      </c>
      <c r="D15" s="59" t="s">
        <v>44</v>
      </c>
      <c r="E15" s="59" t="s">
        <v>37</v>
      </c>
      <c r="F15" s="59" t="s">
        <v>38</v>
      </c>
      <c r="G15" s="59" t="s">
        <v>47</v>
      </c>
      <c r="H15" s="59" t="s">
        <v>48</v>
      </c>
      <c r="I15" s="59" t="s">
        <v>11</v>
      </c>
      <c r="J15" s="59" t="s">
        <v>76</v>
      </c>
      <c r="K15" s="59" t="s">
        <v>122</v>
      </c>
      <c r="L15" s="59" t="s">
        <v>15</v>
      </c>
      <c r="M15" s="5">
        <v>4951378</v>
      </c>
      <c r="N15" s="5">
        <v>0</v>
      </c>
      <c r="O15" s="59"/>
      <c r="P15" s="59"/>
    </row>
    <row r="16" spans="1:16" x14ac:dyDescent="0.2">
      <c r="A16" s="59" t="s">
        <v>42</v>
      </c>
      <c r="B16" s="59" t="s">
        <v>43</v>
      </c>
      <c r="C16" s="59" t="s">
        <v>35</v>
      </c>
      <c r="D16" s="59" t="s">
        <v>44</v>
      </c>
      <c r="E16" s="59" t="s">
        <v>37</v>
      </c>
      <c r="F16" s="59" t="s">
        <v>38</v>
      </c>
      <c r="G16" s="59" t="s">
        <v>47</v>
      </c>
      <c r="H16" s="59" t="s">
        <v>48</v>
      </c>
      <c r="I16" s="59" t="s">
        <v>11</v>
      </c>
      <c r="J16" s="59" t="s">
        <v>76</v>
      </c>
      <c r="K16" s="59" t="s">
        <v>122</v>
      </c>
      <c r="L16" s="59" t="s">
        <v>14</v>
      </c>
      <c r="M16" s="5">
        <v>175000</v>
      </c>
      <c r="N16" s="59"/>
      <c r="O16" s="59"/>
      <c r="P16" s="59"/>
    </row>
    <row r="17" spans="1:16" x14ac:dyDescent="0.2">
      <c r="A17" s="59" t="s">
        <v>42</v>
      </c>
      <c r="B17" s="59" t="s">
        <v>43</v>
      </c>
      <c r="C17" s="59" t="s">
        <v>35</v>
      </c>
      <c r="D17" s="59" t="s">
        <v>51</v>
      </c>
      <c r="E17" s="59" t="s">
        <v>37</v>
      </c>
      <c r="F17" s="59" t="s">
        <v>38</v>
      </c>
      <c r="G17" s="59" t="s">
        <v>133</v>
      </c>
      <c r="H17" s="59" t="s">
        <v>134</v>
      </c>
      <c r="I17" s="59" t="s">
        <v>11</v>
      </c>
      <c r="J17" s="59" t="s">
        <v>20</v>
      </c>
      <c r="K17" s="59" t="s">
        <v>41</v>
      </c>
      <c r="L17" s="59" t="s">
        <v>13</v>
      </c>
      <c r="M17" s="5">
        <v>0</v>
      </c>
      <c r="N17" s="59"/>
      <c r="O17" s="59"/>
      <c r="P17" s="59"/>
    </row>
    <row r="18" spans="1:16" x14ac:dyDescent="0.2">
      <c r="A18" s="59" t="s">
        <v>42</v>
      </c>
      <c r="B18" s="59" t="s">
        <v>43</v>
      </c>
      <c r="C18" s="59" t="s">
        <v>35</v>
      </c>
      <c r="D18" s="59" t="s">
        <v>51</v>
      </c>
      <c r="E18" s="59" t="s">
        <v>37</v>
      </c>
      <c r="F18" s="59" t="s">
        <v>38</v>
      </c>
      <c r="G18" s="59" t="s">
        <v>133</v>
      </c>
      <c r="H18" s="59" t="s">
        <v>134</v>
      </c>
      <c r="I18" s="59" t="s">
        <v>11</v>
      </c>
      <c r="J18" s="59" t="s">
        <v>135</v>
      </c>
      <c r="K18" s="59" t="s">
        <v>136</v>
      </c>
      <c r="L18" s="59" t="s">
        <v>13</v>
      </c>
      <c r="M18" s="5">
        <v>0</v>
      </c>
      <c r="N18" s="59"/>
      <c r="O18" s="59"/>
      <c r="P18" s="59"/>
    </row>
    <row r="19" spans="1:16" x14ac:dyDescent="0.2">
      <c r="A19" s="59" t="s">
        <v>42</v>
      </c>
      <c r="B19" s="59" t="s">
        <v>43</v>
      </c>
      <c r="C19" s="59" t="s">
        <v>35</v>
      </c>
      <c r="D19" s="59" t="s">
        <v>51</v>
      </c>
      <c r="E19" s="59" t="s">
        <v>37</v>
      </c>
      <c r="F19" s="59" t="s">
        <v>38</v>
      </c>
      <c r="G19" s="59" t="s">
        <v>137</v>
      </c>
      <c r="H19" s="59" t="s">
        <v>123</v>
      </c>
      <c r="I19" s="59" t="s">
        <v>11</v>
      </c>
      <c r="J19" s="59" t="s">
        <v>20</v>
      </c>
      <c r="K19" s="59" t="s">
        <v>41</v>
      </c>
      <c r="L19" s="59" t="s">
        <v>13</v>
      </c>
      <c r="M19" s="5">
        <v>900000</v>
      </c>
      <c r="N19" s="59"/>
      <c r="O19" s="59"/>
      <c r="P19" s="59"/>
    </row>
    <row r="20" spans="1:16" x14ac:dyDescent="0.2">
      <c r="A20" s="59" t="s">
        <v>42</v>
      </c>
      <c r="B20" s="59" t="s">
        <v>43</v>
      </c>
      <c r="C20" s="59" t="s">
        <v>35</v>
      </c>
      <c r="D20" s="59" t="s">
        <v>51</v>
      </c>
      <c r="E20" s="59" t="s">
        <v>37</v>
      </c>
      <c r="F20" s="59" t="s">
        <v>38</v>
      </c>
      <c r="G20" s="59" t="s">
        <v>137</v>
      </c>
      <c r="H20" s="59" t="s">
        <v>123</v>
      </c>
      <c r="I20" s="59" t="s">
        <v>11</v>
      </c>
      <c r="J20" s="59" t="s">
        <v>76</v>
      </c>
      <c r="K20" s="59" t="s">
        <v>122</v>
      </c>
      <c r="L20" s="59" t="s">
        <v>13</v>
      </c>
      <c r="M20" s="5">
        <v>9000000</v>
      </c>
      <c r="N20" s="59"/>
      <c r="O20" s="59"/>
      <c r="P20" s="59"/>
    </row>
    <row r="21" spans="1:16" x14ac:dyDescent="0.2">
      <c r="A21" s="59" t="s">
        <v>42</v>
      </c>
      <c r="B21" s="59" t="s">
        <v>43</v>
      </c>
      <c r="C21" s="59" t="s">
        <v>35</v>
      </c>
      <c r="D21" s="59" t="s">
        <v>51</v>
      </c>
      <c r="E21" s="59" t="s">
        <v>37</v>
      </c>
      <c r="F21" s="59" t="s">
        <v>38</v>
      </c>
      <c r="G21" s="59" t="s">
        <v>138</v>
      </c>
      <c r="H21" s="59" t="s">
        <v>55</v>
      </c>
      <c r="I21" s="59" t="s">
        <v>11</v>
      </c>
      <c r="J21" s="59" t="s">
        <v>20</v>
      </c>
      <c r="K21" s="59" t="s">
        <v>41</v>
      </c>
      <c r="L21" s="59" t="s">
        <v>15</v>
      </c>
      <c r="M21" s="5">
        <v>0</v>
      </c>
      <c r="N21" s="59"/>
      <c r="O21" s="59"/>
      <c r="P21" s="59"/>
    </row>
    <row r="22" spans="1:16" x14ac:dyDescent="0.2">
      <c r="A22" s="59" t="s">
        <v>42</v>
      </c>
      <c r="B22" s="59" t="s">
        <v>43</v>
      </c>
      <c r="C22" s="59" t="s">
        <v>35</v>
      </c>
      <c r="D22" s="59" t="s">
        <v>51</v>
      </c>
      <c r="E22" s="59" t="s">
        <v>37</v>
      </c>
      <c r="F22" s="59" t="s">
        <v>38</v>
      </c>
      <c r="G22" s="59" t="s">
        <v>54</v>
      </c>
      <c r="H22" s="59" t="s">
        <v>117</v>
      </c>
      <c r="I22" s="59" t="s">
        <v>11</v>
      </c>
      <c r="J22" s="59" t="s">
        <v>20</v>
      </c>
      <c r="K22" s="59" t="s">
        <v>41</v>
      </c>
      <c r="L22" s="59" t="s">
        <v>11</v>
      </c>
      <c r="M22" s="5">
        <v>246033342.65000001</v>
      </c>
      <c r="N22" s="5">
        <v>243718358.78999999</v>
      </c>
      <c r="O22" s="5">
        <v>243712696.56999999</v>
      </c>
      <c r="P22" s="5">
        <v>241977778.63</v>
      </c>
    </row>
    <row r="23" spans="1:16" x14ac:dyDescent="0.2">
      <c r="A23" s="59" t="s">
        <v>42</v>
      </c>
      <c r="B23" s="59" t="s">
        <v>43</v>
      </c>
      <c r="C23" s="59" t="s">
        <v>35</v>
      </c>
      <c r="D23" s="59" t="s">
        <v>51</v>
      </c>
      <c r="E23" s="59" t="s">
        <v>37</v>
      </c>
      <c r="F23" s="59" t="s">
        <v>38</v>
      </c>
      <c r="G23" s="59" t="s">
        <v>124</v>
      </c>
      <c r="H23" s="59" t="s">
        <v>118</v>
      </c>
      <c r="I23" s="59" t="s">
        <v>11</v>
      </c>
      <c r="J23" s="59" t="s">
        <v>20</v>
      </c>
      <c r="K23" s="59" t="s">
        <v>41</v>
      </c>
      <c r="L23" s="59" t="s">
        <v>14</v>
      </c>
      <c r="M23" s="5">
        <v>2303742</v>
      </c>
      <c r="N23" s="5">
        <v>1533118.36</v>
      </c>
      <c r="O23" s="5">
        <v>1533118.36</v>
      </c>
      <c r="P23" s="5">
        <v>1533118.36</v>
      </c>
    </row>
    <row r="24" spans="1:16" x14ac:dyDescent="0.2">
      <c r="A24" s="59" t="s">
        <v>42</v>
      </c>
      <c r="B24" s="59" t="s">
        <v>43</v>
      </c>
      <c r="C24" s="59" t="s">
        <v>35</v>
      </c>
      <c r="D24" s="59" t="s">
        <v>36</v>
      </c>
      <c r="E24" s="59" t="s">
        <v>37</v>
      </c>
      <c r="F24" s="59" t="s">
        <v>38</v>
      </c>
      <c r="G24" s="59" t="s">
        <v>39</v>
      </c>
      <c r="H24" s="59" t="s">
        <v>40</v>
      </c>
      <c r="I24" s="59" t="s">
        <v>11</v>
      </c>
      <c r="J24" s="59" t="s">
        <v>20</v>
      </c>
      <c r="K24" s="59" t="s">
        <v>41</v>
      </c>
      <c r="L24" s="59" t="s">
        <v>14</v>
      </c>
      <c r="M24" s="5">
        <v>660997</v>
      </c>
      <c r="N24" s="5">
        <v>623888.19999999995</v>
      </c>
      <c r="O24" s="5">
        <v>494498.3</v>
      </c>
      <c r="P24" s="5">
        <v>483920.44</v>
      </c>
    </row>
    <row r="25" spans="1:16" x14ac:dyDescent="0.2">
      <c r="A25" s="59" t="s">
        <v>42</v>
      </c>
      <c r="B25" s="59" t="s">
        <v>43</v>
      </c>
      <c r="C25" s="59" t="s">
        <v>35</v>
      </c>
      <c r="D25" s="59" t="s">
        <v>56</v>
      </c>
      <c r="E25" s="59" t="s">
        <v>37</v>
      </c>
      <c r="F25" s="59" t="s">
        <v>38</v>
      </c>
      <c r="G25" s="59" t="s">
        <v>57</v>
      </c>
      <c r="H25" s="59" t="s">
        <v>58</v>
      </c>
      <c r="I25" s="59" t="s">
        <v>11</v>
      </c>
      <c r="J25" s="59" t="s">
        <v>20</v>
      </c>
      <c r="K25" s="59" t="s">
        <v>41</v>
      </c>
      <c r="L25" s="59" t="s">
        <v>14</v>
      </c>
      <c r="M25" s="5">
        <v>432274</v>
      </c>
      <c r="N25" s="5">
        <v>420233</v>
      </c>
      <c r="O25" s="5">
        <v>280915.90999999997</v>
      </c>
      <c r="P25" s="5">
        <v>242591.88</v>
      </c>
    </row>
    <row r="26" spans="1:16" x14ac:dyDescent="0.2">
      <c r="A26" s="59" t="s">
        <v>42</v>
      </c>
      <c r="B26" s="59" t="s">
        <v>43</v>
      </c>
      <c r="C26" s="59" t="s">
        <v>35</v>
      </c>
      <c r="D26" s="59" t="s">
        <v>59</v>
      </c>
      <c r="E26" s="59" t="s">
        <v>37</v>
      </c>
      <c r="F26" s="59" t="s">
        <v>38</v>
      </c>
      <c r="G26" s="59" t="s">
        <v>60</v>
      </c>
      <c r="H26" s="59" t="s">
        <v>61</v>
      </c>
      <c r="I26" s="59" t="s">
        <v>62</v>
      </c>
      <c r="J26" s="59" t="s">
        <v>20</v>
      </c>
      <c r="K26" s="59" t="s">
        <v>41</v>
      </c>
      <c r="L26" s="59" t="s">
        <v>15</v>
      </c>
      <c r="M26" s="5">
        <v>15000</v>
      </c>
      <c r="N26" s="59"/>
      <c r="O26" s="59"/>
      <c r="P26" s="59"/>
    </row>
    <row r="27" spans="1:16" x14ac:dyDescent="0.2">
      <c r="A27" s="59" t="s">
        <v>42</v>
      </c>
      <c r="B27" s="59" t="s">
        <v>43</v>
      </c>
      <c r="C27" s="59" t="s">
        <v>35</v>
      </c>
      <c r="D27" s="59" t="s">
        <v>59</v>
      </c>
      <c r="E27" s="59" t="s">
        <v>37</v>
      </c>
      <c r="F27" s="59" t="s">
        <v>38</v>
      </c>
      <c r="G27" s="59" t="s">
        <v>60</v>
      </c>
      <c r="H27" s="59" t="s">
        <v>61</v>
      </c>
      <c r="I27" s="59" t="s">
        <v>62</v>
      </c>
      <c r="J27" s="59" t="s">
        <v>20</v>
      </c>
      <c r="K27" s="59" t="s">
        <v>41</v>
      </c>
      <c r="L27" s="59" t="s">
        <v>14</v>
      </c>
      <c r="M27" s="5">
        <v>11979420</v>
      </c>
      <c r="N27" s="5">
        <v>11891956.560000001</v>
      </c>
      <c r="O27" s="5">
        <v>6934266.5</v>
      </c>
      <c r="P27" s="5">
        <v>6934266.5</v>
      </c>
    </row>
    <row r="28" spans="1:16" x14ac:dyDescent="0.2">
      <c r="A28" s="59" t="s">
        <v>42</v>
      </c>
      <c r="B28" s="59" t="s">
        <v>43</v>
      </c>
      <c r="C28" s="59" t="s">
        <v>35</v>
      </c>
      <c r="D28" s="59" t="s">
        <v>63</v>
      </c>
      <c r="E28" s="59" t="s">
        <v>37</v>
      </c>
      <c r="F28" s="59" t="s">
        <v>38</v>
      </c>
      <c r="G28" s="59" t="s">
        <v>64</v>
      </c>
      <c r="H28" s="59" t="s">
        <v>65</v>
      </c>
      <c r="I28" s="59" t="s">
        <v>11</v>
      </c>
      <c r="J28" s="59" t="s">
        <v>20</v>
      </c>
      <c r="K28" s="59" t="s">
        <v>41</v>
      </c>
      <c r="L28" s="59" t="s">
        <v>14</v>
      </c>
      <c r="M28" s="5">
        <v>61098.07</v>
      </c>
      <c r="N28" s="5">
        <v>61098.07</v>
      </c>
      <c r="O28" s="5">
        <v>61098.07</v>
      </c>
      <c r="P28" s="5">
        <v>61098.07</v>
      </c>
    </row>
    <row r="29" spans="1:16" x14ac:dyDescent="0.2">
      <c r="A29" s="59" t="s">
        <v>42</v>
      </c>
      <c r="B29" s="59" t="s">
        <v>43</v>
      </c>
      <c r="C29" s="59" t="s">
        <v>35</v>
      </c>
      <c r="D29" s="59" t="s">
        <v>63</v>
      </c>
      <c r="E29" s="59" t="s">
        <v>37</v>
      </c>
      <c r="F29" s="59" t="s">
        <v>38</v>
      </c>
      <c r="G29" s="59" t="s">
        <v>66</v>
      </c>
      <c r="H29" s="59" t="s">
        <v>67</v>
      </c>
      <c r="I29" s="59" t="s">
        <v>11</v>
      </c>
      <c r="J29" s="59" t="s">
        <v>20</v>
      </c>
      <c r="K29" s="59" t="s">
        <v>41</v>
      </c>
      <c r="L29" s="59" t="s">
        <v>14</v>
      </c>
      <c r="M29" s="5">
        <v>2063448</v>
      </c>
      <c r="N29" s="5">
        <v>2063448</v>
      </c>
      <c r="O29" s="5">
        <v>1411281</v>
      </c>
      <c r="P29" s="5">
        <v>1411281</v>
      </c>
    </row>
    <row r="30" spans="1:16" x14ac:dyDescent="0.2">
      <c r="A30" s="59" t="s">
        <v>42</v>
      </c>
      <c r="B30" s="59" t="s">
        <v>43</v>
      </c>
      <c r="C30" s="59" t="s">
        <v>35</v>
      </c>
      <c r="D30" s="59" t="s">
        <v>63</v>
      </c>
      <c r="E30" s="59" t="s">
        <v>37</v>
      </c>
      <c r="F30" s="59" t="s">
        <v>38</v>
      </c>
      <c r="G30" s="59" t="s">
        <v>68</v>
      </c>
      <c r="H30" s="59" t="s">
        <v>69</v>
      </c>
      <c r="I30" s="59" t="s">
        <v>11</v>
      </c>
      <c r="J30" s="59" t="s">
        <v>20</v>
      </c>
      <c r="K30" s="59" t="s">
        <v>41</v>
      </c>
      <c r="L30" s="59" t="s">
        <v>14</v>
      </c>
      <c r="M30" s="5">
        <v>1271000</v>
      </c>
      <c r="N30" s="5">
        <v>1271000</v>
      </c>
      <c r="O30" s="5">
        <v>691917.16</v>
      </c>
      <c r="P30" s="5">
        <v>691917.16</v>
      </c>
    </row>
    <row r="31" spans="1:16" x14ac:dyDescent="0.2">
      <c r="A31" s="59" t="s">
        <v>42</v>
      </c>
      <c r="B31" s="59" t="s">
        <v>43</v>
      </c>
      <c r="C31" s="59" t="s">
        <v>35</v>
      </c>
      <c r="D31" s="59" t="s">
        <v>63</v>
      </c>
      <c r="E31" s="59" t="s">
        <v>37</v>
      </c>
      <c r="F31" s="59" t="s">
        <v>38</v>
      </c>
      <c r="G31" s="59" t="s">
        <v>70</v>
      </c>
      <c r="H31" s="59" t="s">
        <v>71</v>
      </c>
      <c r="I31" s="59" t="s">
        <v>11</v>
      </c>
      <c r="J31" s="59" t="s">
        <v>20</v>
      </c>
      <c r="K31" s="59" t="s">
        <v>41</v>
      </c>
      <c r="L31" s="59" t="s">
        <v>14</v>
      </c>
      <c r="M31" s="5">
        <v>19423248</v>
      </c>
      <c r="N31" s="5">
        <v>19423248</v>
      </c>
      <c r="O31" s="5">
        <v>12938299.439999999</v>
      </c>
      <c r="P31" s="5">
        <v>12938299.439999999</v>
      </c>
    </row>
    <row r="32" spans="1:16" x14ac:dyDescent="0.2">
      <c r="A32" s="59" t="s">
        <v>42</v>
      </c>
      <c r="B32" s="59" t="s">
        <v>43</v>
      </c>
      <c r="C32" s="59" t="s">
        <v>35</v>
      </c>
      <c r="D32" s="59" t="s">
        <v>139</v>
      </c>
      <c r="E32" s="59" t="s">
        <v>37</v>
      </c>
      <c r="F32" s="59" t="s">
        <v>38</v>
      </c>
      <c r="G32" s="59" t="s">
        <v>52</v>
      </c>
      <c r="H32" s="59" t="s">
        <v>53</v>
      </c>
      <c r="I32" s="59" t="s">
        <v>11</v>
      </c>
      <c r="J32" s="59" t="s">
        <v>20</v>
      </c>
      <c r="K32" s="59" t="s">
        <v>41</v>
      </c>
      <c r="L32" s="59" t="s">
        <v>11</v>
      </c>
      <c r="M32" s="5">
        <v>40329974.93</v>
      </c>
      <c r="N32" s="5">
        <v>40329974.93</v>
      </c>
      <c r="O32" s="5">
        <v>40329974.93</v>
      </c>
      <c r="P32" s="5">
        <v>40329974.93</v>
      </c>
    </row>
    <row r="33" spans="1:16" x14ac:dyDescent="0.2">
      <c r="A33" s="59" t="s">
        <v>42</v>
      </c>
      <c r="B33" s="59" t="s">
        <v>43</v>
      </c>
      <c r="C33" s="59" t="s">
        <v>72</v>
      </c>
      <c r="D33" s="59" t="s">
        <v>73</v>
      </c>
      <c r="E33" s="59" t="s">
        <v>74</v>
      </c>
      <c r="F33" s="59" t="s">
        <v>75</v>
      </c>
      <c r="G33" s="59" t="s">
        <v>76</v>
      </c>
      <c r="H33" s="59" t="s">
        <v>119</v>
      </c>
      <c r="I33" s="59" t="s">
        <v>62</v>
      </c>
      <c r="J33" s="59" t="s">
        <v>18</v>
      </c>
      <c r="K33" s="59" t="s">
        <v>77</v>
      </c>
      <c r="L33" s="59" t="s">
        <v>11</v>
      </c>
      <c r="M33" s="5">
        <v>10453718.800000001</v>
      </c>
      <c r="N33" s="5">
        <v>10453718.800000001</v>
      </c>
      <c r="O33" s="5">
        <v>10453718.800000001</v>
      </c>
      <c r="P33" s="5">
        <v>9971801.1099999994</v>
      </c>
    </row>
    <row r="34" spans="1:16" x14ac:dyDescent="0.2">
      <c r="A34" s="59" t="s">
        <v>42</v>
      </c>
      <c r="B34" s="59" t="s">
        <v>43</v>
      </c>
      <c r="C34" s="59" t="s">
        <v>72</v>
      </c>
      <c r="D34" s="59" t="s">
        <v>73</v>
      </c>
      <c r="E34" s="59" t="s">
        <v>74</v>
      </c>
      <c r="F34" s="59" t="s">
        <v>75</v>
      </c>
      <c r="G34" s="59" t="s">
        <v>76</v>
      </c>
      <c r="H34" s="59" t="s">
        <v>119</v>
      </c>
      <c r="I34" s="59" t="s">
        <v>62</v>
      </c>
      <c r="J34" s="59" t="s">
        <v>19</v>
      </c>
      <c r="K34" s="59" t="s">
        <v>78</v>
      </c>
      <c r="L34" s="59" t="s">
        <v>11</v>
      </c>
      <c r="M34" s="5">
        <v>55200000</v>
      </c>
      <c r="N34" s="5">
        <v>55200000</v>
      </c>
      <c r="O34" s="5">
        <v>55200000</v>
      </c>
      <c r="P34" s="5">
        <v>55200000</v>
      </c>
    </row>
    <row r="36" spans="1:16" x14ac:dyDescent="0.2">
      <c r="M36" s="56">
        <f>SUM(M9:M35)</f>
        <v>463989262.44999999</v>
      </c>
      <c r="N36" s="56">
        <f t="shared" ref="N36:P36" si="0">SUM(N9:N35)</f>
        <v>435717061.63</v>
      </c>
      <c r="O36" s="56">
        <f t="shared" si="0"/>
        <v>399944690.05000007</v>
      </c>
      <c r="P36" s="56">
        <f t="shared" si="0"/>
        <v>396203718.33000004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="70" zoomScaleNormal="70" workbookViewId="0">
      <selection activeCell="A33" sqref="A33:XFD33"/>
    </sheetView>
  </sheetViews>
  <sheetFormatPr defaultRowHeight="12.75" x14ac:dyDescent="0.2"/>
  <cols>
    <col min="13" max="16" width="14" customWidth="1"/>
  </cols>
  <sheetData>
    <row r="1" spans="1:16" x14ac:dyDescent="0.2">
      <c r="A1" s="63" t="s">
        <v>120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ht="10.5" customHeight="1" x14ac:dyDescent="0.2">
      <c r="A3" s="63" t="s">
        <v>121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10.5" customHeight="1" x14ac:dyDescent="0.2">
      <c r="A4" s="102" t="s">
        <v>144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x14ac:dyDescent="0.2">
      <c r="A6" s="63" t="s">
        <v>23</v>
      </c>
      <c r="B6" s="63"/>
      <c r="C6" s="63" t="s">
        <v>24</v>
      </c>
      <c r="D6" s="63" t="s">
        <v>25</v>
      </c>
      <c r="E6" s="63" t="s">
        <v>26</v>
      </c>
      <c r="F6" s="63"/>
      <c r="G6" s="63" t="s">
        <v>27</v>
      </c>
      <c r="H6" s="63"/>
      <c r="I6" s="63" t="s">
        <v>28</v>
      </c>
      <c r="J6" s="63" t="s">
        <v>29</v>
      </c>
      <c r="K6" s="63" t="s">
        <v>30</v>
      </c>
      <c r="L6" s="63" t="s">
        <v>31</v>
      </c>
      <c r="M6" s="63" t="s">
        <v>32</v>
      </c>
      <c r="N6" s="63" t="s">
        <v>125</v>
      </c>
      <c r="O6" s="63" t="s">
        <v>126</v>
      </c>
      <c r="P6" s="63" t="s">
        <v>127</v>
      </c>
    </row>
    <row r="7" spans="1:16" x14ac:dyDescent="0.2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 t="s">
        <v>33</v>
      </c>
      <c r="N7" s="63" t="s">
        <v>128</v>
      </c>
      <c r="O7" s="63" t="s">
        <v>129</v>
      </c>
      <c r="P7" s="63" t="s">
        <v>130</v>
      </c>
    </row>
    <row r="8" spans="1:16" x14ac:dyDescent="0.2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 t="s">
        <v>34</v>
      </c>
      <c r="M8" s="63" t="s">
        <v>143</v>
      </c>
      <c r="N8" s="63" t="s">
        <v>143</v>
      </c>
      <c r="O8" s="63" t="s">
        <v>143</v>
      </c>
      <c r="P8" s="63" t="s">
        <v>143</v>
      </c>
    </row>
    <row r="9" spans="1:16" x14ac:dyDescent="0.2">
      <c r="A9" s="63" t="s">
        <v>140</v>
      </c>
      <c r="B9" s="63" t="s">
        <v>141</v>
      </c>
      <c r="C9" s="63" t="s">
        <v>35</v>
      </c>
      <c r="D9" s="63" t="s">
        <v>44</v>
      </c>
      <c r="E9" s="63" t="s">
        <v>37</v>
      </c>
      <c r="F9" s="63" t="s">
        <v>38</v>
      </c>
      <c r="G9" s="63" t="s">
        <v>47</v>
      </c>
      <c r="H9" s="63" t="s">
        <v>48</v>
      </c>
      <c r="I9" s="63" t="s">
        <v>11</v>
      </c>
      <c r="J9" s="63" t="s">
        <v>76</v>
      </c>
      <c r="K9" s="63" t="s">
        <v>122</v>
      </c>
      <c r="L9" s="63" t="s">
        <v>15</v>
      </c>
      <c r="M9" s="64">
        <v>0</v>
      </c>
      <c r="N9" s="63"/>
      <c r="O9" s="63"/>
      <c r="P9" s="63"/>
    </row>
    <row r="10" spans="1:16" x14ac:dyDescent="0.2">
      <c r="A10" s="63" t="s">
        <v>42</v>
      </c>
      <c r="B10" s="63" t="s">
        <v>43</v>
      </c>
      <c r="C10" s="63" t="s">
        <v>35</v>
      </c>
      <c r="D10" s="63" t="s">
        <v>44</v>
      </c>
      <c r="E10" s="63" t="s">
        <v>37</v>
      </c>
      <c r="F10" s="63" t="s">
        <v>38</v>
      </c>
      <c r="G10" s="63" t="s">
        <v>45</v>
      </c>
      <c r="H10" s="63" t="s">
        <v>46</v>
      </c>
      <c r="I10" s="63" t="s">
        <v>11</v>
      </c>
      <c r="J10" s="63" t="s">
        <v>20</v>
      </c>
      <c r="K10" s="63" t="s">
        <v>41</v>
      </c>
      <c r="L10" s="63" t="s">
        <v>14</v>
      </c>
      <c r="M10" s="64">
        <v>15000</v>
      </c>
      <c r="N10" s="64">
        <v>15000</v>
      </c>
      <c r="O10" s="64">
        <v>1302.73</v>
      </c>
      <c r="P10" s="64">
        <v>1302.73</v>
      </c>
    </row>
    <row r="11" spans="1:16" x14ac:dyDescent="0.2">
      <c r="A11" s="63" t="s">
        <v>42</v>
      </c>
      <c r="B11" s="63" t="s">
        <v>43</v>
      </c>
      <c r="C11" s="63" t="s">
        <v>35</v>
      </c>
      <c r="D11" s="63" t="s">
        <v>44</v>
      </c>
      <c r="E11" s="63" t="s">
        <v>37</v>
      </c>
      <c r="F11" s="63" t="s">
        <v>38</v>
      </c>
      <c r="G11" s="63" t="s">
        <v>47</v>
      </c>
      <c r="H11" s="63" t="s">
        <v>48</v>
      </c>
      <c r="I11" s="63" t="s">
        <v>11</v>
      </c>
      <c r="J11" s="63" t="s">
        <v>20</v>
      </c>
      <c r="K11" s="63" t="s">
        <v>41</v>
      </c>
      <c r="L11" s="63" t="s">
        <v>15</v>
      </c>
      <c r="M11" s="64">
        <v>3111880</v>
      </c>
      <c r="N11" s="64">
        <v>247989.37</v>
      </c>
      <c r="O11" s="64">
        <v>76065.509999999995</v>
      </c>
      <c r="P11" s="64">
        <v>60915.51</v>
      </c>
    </row>
    <row r="12" spans="1:16" x14ac:dyDescent="0.2">
      <c r="A12" s="63" t="s">
        <v>42</v>
      </c>
      <c r="B12" s="63" t="s">
        <v>43</v>
      </c>
      <c r="C12" s="63" t="s">
        <v>35</v>
      </c>
      <c r="D12" s="63" t="s">
        <v>44</v>
      </c>
      <c r="E12" s="63" t="s">
        <v>37</v>
      </c>
      <c r="F12" s="63" t="s">
        <v>38</v>
      </c>
      <c r="G12" s="63" t="s">
        <v>47</v>
      </c>
      <c r="H12" s="63" t="s">
        <v>48</v>
      </c>
      <c r="I12" s="63" t="s">
        <v>11</v>
      </c>
      <c r="J12" s="63" t="s">
        <v>20</v>
      </c>
      <c r="K12" s="63" t="s">
        <v>41</v>
      </c>
      <c r="L12" s="63" t="s">
        <v>14</v>
      </c>
      <c r="M12" s="64">
        <v>48017851</v>
      </c>
      <c r="N12" s="64">
        <v>42132595.049999997</v>
      </c>
      <c r="O12" s="64">
        <v>24721510.649999999</v>
      </c>
      <c r="P12" s="64">
        <v>22235944.41</v>
      </c>
    </row>
    <row r="13" spans="1:16" x14ac:dyDescent="0.2">
      <c r="A13" s="63" t="s">
        <v>42</v>
      </c>
      <c r="B13" s="63" t="s">
        <v>43</v>
      </c>
      <c r="C13" s="63" t="s">
        <v>35</v>
      </c>
      <c r="D13" s="63" t="s">
        <v>44</v>
      </c>
      <c r="E13" s="63" t="s">
        <v>37</v>
      </c>
      <c r="F13" s="63" t="s">
        <v>38</v>
      </c>
      <c r="G13" s="63" t="s">
        <v>47</v>
      </c>
      <c r="H13" s="63" t="s">
        <v>48</v>
      </c>
      <c r="I13" s="63" t="s">
        <v>11</v>
      </c>
      <c r="J13" s="63" t="s">
        <v>21</v>
      </c>
      <c r="K13" s="63" t="s">
        <v>49</v>
      </c>
      <c r="L13" s="63" t="s">
        <v>14</v>
      </c>
      <c r="M13" s="64">
        <v>6790890</v>
      </c>
      <c r="N13" s="64">
        <v>6790890</v>
      </c>
      <c r="O13" s="64">
        <v>5112462</v>
      </c>
      <c r="P13" s="64">
        <v>4988639.28</v>
      </c>
    </row>
    <row r="14" spans="1:16" x14ac:dyDescent="0.2">
      <c r="A14" s="63" t="s">
        <v>42</v>
      </c>
      <c r="B14" s="63" t="s">
        <v>43</v>
      </c>
      <c r="C14" s="63" t="s">
        <v>35</v>
      </c>
      <c r="D14" s="63" t="s">
        <v>44</v>
      </c>
      <c r="E14" s="63" t="s">
        <v>37</v>
      </c>
      <c r="F14" s="63" t="s">
        <v>38</v>
      </c>
      <c r="G14" s="63" t="s">
        <v>47</v>
      </c>
      <c r="H14" s="63" t="s">
        <v>48</v>
      </c>
      <c r="I14" s="63" t="s">
        <v>11</v>
      </c>
      <c r="J14" s="63" t="s">
        <v>22</v>
      </c>
      <c r="K14" s="63" t="s">
        <v>50</v>
      </c>
      <c r="L14" s="63" t="s">
        <v>14</v>
      </c>
      <c r="M14" s="64">
        <v>800000</v>
      </c>
      <c r="N14" s="63"/>
      <c r="O14" s="63"/>
      <c r="P14" s="63"/>
    </row>
    <row r="15" spans="1:16" x14ac:dyDescent="0.2">
      <c r="A15" s="63" t="s">
        <v>42</v>
      </c>
      <c r="B15" s="63" t="s">
        <v>43</v>
      </c>
      <c r="C15" s="63" t="s">
        <v>35</v>
      </c>
      <c r="D15" s="63" t="s">
        <v>44</v>
      </c>
      <c r="E15" s="63" t="s">
        <v>37</v>
      </c>
      <c r="F15" s="63" t="s">
        <v>38</v>
      </c>
      <c r="G15" s="63" t="s">
        <v>47</v>
      </c>
      <c r="H15" s="63" t="s">
        <v>48</v>
      </c>
      <c r="I15" s="63" t="s">
        <v>11</v>
      </c>
      <c r="J15" s="63" t="s">
        <v>76</v>
      </c>
      <c r="K15" s="63" t="s">
        <v>122</v>
      </c>
      <c r="L15" s="63" t="s">
        <v>15</v>
      </c>
      <c r="M15" s="64">
        <v>4951378</v>
      </c>
      <c r="N15" s="64">
        <v>3440573</v>
      </c>
      <c r="O15" s="63"/>
      <c r="P15" s="63"/>
    </row>
    <row r="16" spans="1:16" x14ac:dyDescent="0.2">
      <c r="A16" s="63" t="s">
        <v>42</v>
      </c>
      <c r="B16" s="63" t="s">
        <v>43</v>
      </c>
      <c r="C16" s="63" t="s">
        <v>35</v>
      </c>
      <c r="D16" s="63" t="s">
        <v>44</v>
      </c>
      <c r="E16" s="63" t="s">
        <v>37</v>
      </c>
      <c r="F16" s="63" t="s">
        <v>38</v>
      </c>
      <c r="G16" s="63" t="s">
        <v>47</v>
      </c>
      <c r="H16" s="63" t="s">
        <v>48</v>
      </c>
      <c r="I16" s="63" t="s">
        <v>11</v>
      </c>
      <c r="J16" s="63" t="s">
        <v>76</v>
      </c>
      <c r="K16" s="63" t="s">
        <v>122</v>
      </c>
      <c r="L16" s="63" t="s">
        <v>14</v>
      </c>
      <c r="M16" s="64">
        <v>175000</v>
      </c>
      <c r="N16" s="64">
        <v>157660</v>
      </c>
      <c r="O16" s="63"/>
      <c r="P16" s="63"/>
    </row>
    <row r="17" spans="1:16" x14ac:dyDescent="0.2">
      <c r="A17" s="63" t="s">
        <v>42</v>
      </c>
      <c r="B17" s="63" t="s">
        <v>43</v>
      </c>
      <c r="C17" s="63" t="s">
        <v>35</v>
      </c>
      <c r="D17" s="63" t="s">
        <v>51</v>
      </c>
      <c r="E17" s="63" t="s">
        <v>37</v>
      </c>
      <c r="F17" s="63" t="s">
        <v>38</v>
      </c>
      <c r="G17" s="63" t="s">
        <v>133</v>
      </c>
      <c r="H17" s="63" t="s">
        <v>134</v>
      </c>
      <c r="I17" s="63" t="s">
        <v>11</v>
      </c>
      <c r="J17" s="63" t="s">
        <v>20</v>
      </c>
      <c r="K17" s="63" t="s">
        <v>41</v>
      </c>
      <c r="L17" s="63" t="s">
        <v>13</v>
      </c>
      <c r="M17" s="64">
        <v>0</v>
      </c>
      <c r="N17" s="63"/>
      <c r="O17" s="63"/>
      <c r="P17" s="63"/>
    </row>
    <row r="18" spans="1:16" x14ac:dyDescent="0.2">
      <c r="A18" s="63" t="s">
        <v>42</v>
      </c>
      <c r="B18" s="63" t="s">
        <v>43</v>
      </c>
      <c r="C18" s="63" t="s">
        <v>35</v>
      </c>
      <c r="D18" s="63" t="s">
        <v>51</v>
      </c>
      <c r="E18" s="63" t="s">
        <v>37</v>
      </c>
      <c r="F18" s="63" t="s">
        <v>38</v>
      </c>
      <c r="G18" s="63" t="s">
        <v>133</v>
      </c>
      <c r="H18" s="63" t="s">
        <v>134</v>
      </c>
      <c r="I18" s="63" t="s">
        <v>11</v>
      </c>
      <c r="J18" s="63" t="s">
        <v>135</v>
      </c>
      <c r="K18" s="63" t="s">
        <v>136</v>
      </c>
      <c r="L18" s="63" t="s">
        <v>13</v>
      </c>
      <c r="M18" s="64">
        <v>0</v>
      </c>
      <c r="N18" s="63"/>
      <c r="O18" s="63"/>
      <c r="P18" s="63"/>
    </row>
    <row r="19" spans="1:16" x14ac:dyDescent="0.2">
      <c r="A19" s="63" t="s">
        <v>42</v>
      </c>
      <c r="B19" s="63" t="s">
        <v>43</v>
      </c>
      <c r="C19" s="63" t="s">
        <v>35</v>
      </c>
      <c r="D19" s="63" t="s">
        <v>51</v>
      </c>
      <c r="E19" s="63" t="s">
        <v>37</v>
      </c>
      <c r="F19" s="63" t="s">
        <v>38</v>
      </c>
      <c r="G19" s="63" t="s">
        <v>137</v>
      </c>
      <c r="H19" s="63" t="s">
        <v>123</v>
      </c>
      <c r="I19" s="63" t="s">
        <v>11</v>
      </c>
      <c r="J19" s="63" t="s">
        <v>20</v>
      </c>
      <c r="K19" s="63" t="s">
        <v>41</v>
      </c>
      <c r="L19" s="63" t="s">
        <v>13</v>
      </c>
      <c r="M19" s="64">
        <v>900000</v>
      </c>
      <c r="N19" s="63"/>
      <c r="O19" s="63"/>
      <c r="P19" s="63"/>
    </row>
    <row r="20" spans="1:16" x14ac:dyDescent="0.2">
      <c r="A20" s="63" t="s">
        <v>42</v>
      </c>
      <c r="B20" s="63" t="s">
        <v>43</v>
      </c>
      <c r="C20" s="63" t="s">
        <v>35</v>
      </c>
      <c r="D20" s="63" t="s">
        <v>51</v>
      </c>
      <c r="E20" s="63" t="s">
        <v>37</v>
      </c>
      <c r="F20" s="63" t="s">
        <v>38</v>
      </c>
      <c r="G20" s="63" t="s">
        <v>137</v>
      </c>
      <c r="H20" s="63" t="s">
        <v>123</v>
      </c>
      <c r="I20" s="63" t="s">
        <v>11</v>
      </c>
      <c r="J20" s="63" t="s">
        <v>76</v>
      </c>
      <c r="K20" s="63" t="s">
        <v>122</v>
      </c>
      <c r="L20" s="63" t="s">
        <v>13</v>
      </c>
      <c r="M20" s="64">
        <v>9000000</v>
      </c>
      <c r="N20" s="63"/>
      <c r="O20" s="63"/>
      <c r="P20" s="63"/>
    </row>
    <row r="21" spans="1:16" x14ac:dyDescent="0.2">
      <c r="A21" s="63" t="s">
        <v>42</v>
      </c>
      <c r="B21" s="63" t="s">
        <v>43</v>
      </c>
      <c r="C21" s="63" t="s">
        <v>35</v>
      </c>
      <c r="D21" s="63" t="s">
        <v>51</v>
      </c>
      <c r="E21" s="63" t="s">
        <v>37</v>
      </c>
      <c r="F21" s="63" t="s">
        <v>38</v>
      </c>
      <c r="G21" s="63" t="s">
        <v>138</v>
      </c>
      <c r="H21" s="63" t="s">
        <v>55</v>
      </c>
      <c r="I21" s="63" t="s">
        <v>11</v>
      </c>
      <c r="J21" s="63" t="s">
        <v>20</v>
      </c>
      <c r="K21" s="63" t="s">
        <v>41</v>
      </c>
      <c r="L21" s="63" t="s">
        <v>15</v>
      </c>
      <c r="M21" s="64">
        <v>0</v>
      </c>
      <c r="N21" s="63"/>
      <c r="O21" s="63"/>
      <c r="P21" s="63"/>
    </row>
    <row r="22" spans="1:16" x14ac:dyDescent="0.2">
      <c r="A22" s="63" t="s">
        <v>42</v>
      </c>
      <c r="B22" s="63" t="s">
        <v>43</v>
      </c>
      <c r="C22" s="63" t="s">
        <v>35</v>
      </c>
      <c r="D22" s="63" t="s">
        <v>51</v>
      </c>
      <c r="E22" s="63" t="s">
        <v>37</v>
      </c>
      <c r="F22" s="63" t="s">
        <v>38</v>
      </c>
      <c r="G22" s="63" t="s">
        <v>54</v>
      </c>
      <c r="H22" s="63" t="s">
        <v>117</v>
      </c>
      <c r="I22" s="63" t="s">
        <v>11</v>
      </c>
      <c r="J22" s="63" t="s">
        <v>20</v>
      </c>
      <c r="K22" s="63" t="s">
        <v>41</v>
      </c>
      <c r="L22" s="63" t="s">
        <v>11</v>
      </c>
      <c r="M22" s="64">
        <v>275016182.05000001</v>
      </c>
      <c r="N22" s="64">
        <v>272701198.19</v>
      </c>
      <c r="O22" s="64">
        <v>272694012.35000002</v>
      </c>
      <c r="P22" s="64">
        <v>270960113.51999998</v>
      </c>
    </row>
    <row r="23" spans="1:16" x14ac:dyDescent="0.2">
      <c r="A23" s="63" t="s">
        <v>42</v>
      </c>
      <c r="B23" s="63" t="s">
        <v>43</v>
      </c>
      <c r="C23" s="63" t="s">
        <v>35</v>
      </c>
      <c r="D23" s="63" t="s">
        <v>51</v>
      </c>
      <c r="E23" s="63" t="s">
        <v>37</v>
      </c>
      <c r="F23" s="63" t="s">
        <v>38</v>
      </c>
      <c r="G23" s="63" t="s">
        <v>124</v>
      </c>
      <c r="H23" s="63" t="s">
        <v>118</v>
      </c>
      <c r="I23" s="63" t="s">
        <v>11</v>
      </c>
      <c r="J23" s="63" t="s">
        <v>20</v>
      </c>
      <c r="K23" s="63" t="s">
        <v>41</v>
      </c>
      <c r="L23" s="63" t="s">
        <v>14</v>
      </c>
      <c r="M23" s="64">
        <v>2303742</v>
      </c>
      <c r="N23" s="64">
        <v>1724468.03</v>
      </c>
      <c r="O23" s="64">
        <v>1724468.03</v>
      </c>
      <c r="P23" s="64">
        <v>1724468.03</v>
      </c>
    </row>
    <row r="24" spans="1:16" x14ac:dyDescent="0.2">
      <c r="A24" s="63" t="s">
        <v>42</v>
      </c>
      <c r="B24" s="63" t="s">
        <v>43</v>
      </c>
      <c r="C24" s="63" t="s">
        <v>35</v>
      </c>
      <c r="D24" s="63" t="s">
        <v>36</v>
      </c>
      <c r="E24" s="63" t="s">
        <v>37</v>
      </c>
      <c r="F24" s="63" t="s">
        <v>38</v>
      </c>
      <c r="G24" s="63" t="s">
        <v>39</v>
      </c>
      <c r="H24" s="63" t="s">
        <v>40</v>
      </c>
      <c r="I24" s="63" t="s">
        <v>11</v>
      </c>
      <c r="J24" s="63" t="s">
        <v>20</v>
      </c>
      <c r="K24" s="63" t="s">
        <v>41</v>
      </c>
      <c r="L24" s="63" t="s">
        <v>14</v>
      </c>
      <c r="M24" s="64">
        <v>850997</v>
      </c>
      <c r="N24" s="64">
        <v>623888.19999999995</v>
      </c>
      <c r="O24" s="64">
        <v>497100.47</v>
      </c>
      <c r="P24" s="64">
        <v>494848.3</v>
      </c>
    </row>
    <row r="25" spans="1:16" x14ac:dyDescent="0.2">
      <c r="A25" s="63" t="s">
        <v>42</v>
      </c>
      <c r="B25" s="63" t="s">
        <v>43</v>
      </c>
      <c r="C25" s="63" t="s">
        <v>35</v>
      </c>
      <c r="D25" s="63" t="s">
        <v>56</v>
      </c>
      <c r="E25" s="63" t="s">
        <v>37</v>
      </c>
      <c r="F25" s="63" t="s">
        <v>38</v>
      </c>
      <c r="G25" s="63" t="s">
        <v>57</v>
      </c>
      <c r="H25" s="63" t="s">
        <v>58</v>
      </c>
      <c r="I25" s="63" t="s">
        <v>11</v>
      </c>
      <c r="J25" s="63" t="s">
        <v>20</v>
      </c>
      <c r="K25" s="63" t="s">
        <v>41</v>
      </c>
      <c r="L25" s="63" t="s">
        <v>14</v>
      </c>
      <c r="M25" s="64">
        <v>517525</v>
      </c>
      <c r="N25" s="64">
        <v>420233</v>
      </c>
      <c r="O25" s="64">
        <v>321328.55</v>
      </c>
      <c r="P25" s="64">
        <v>280915.90999999997</v>
      </c>
    </row>
    <row r="26" spans="1:16" x14ac:dyDescent="0.2">
      <c r="A26" s="63" t="s">
        <v>42</v>
      </c>
      <c r="B26" s="63" t="s">
        <v>43</v>
      </c>
      <c r="C26" s="63" t="s">
        <v>35</v>
      </c>
      <c r="D26" s="63" t="s">
        <v>59</v>
      </c>
      <c r="E26" s="63" t="s">
        <v>37</v>
      </c>
      <c r="F26" s="63" t="s">
        <v>38</v>
      </c>
      <c r="G26" s="63" t="s">
        <v>60</v>
      </c>
      <c r="H26" s="63" t="s">
        <v>61</v>
      </c>
      <c r="I26" s="63" t="s">
        <v>62</v>
      </c>
      <c r="J26" s="63" t="s">
        <v>20</v>
      </c>
      <c r="K26" s="63" t="s">
        <v>41</v>
      </c>
      <c r="L26" s="63" t="s">
        <v>15</v>
      </c>
      <c r="M26" s="64">
        <v>15000</v>
      </c>
      <c r="N26" s="63"/>
      <c r="O26" s="63"/>
      <c r="P26" s="63"/>
    </row>
    <row r="27" spans="1:16" x14ac:dyDescent="0.2">
      <c r="A27" s="63" t="s">
        <v>42</v>
      </c>
      <c r="B27" s="63" t="s">
        <v>43</v>
      </c>
      <c r="C27" s="63" t="s">
        <v>35</v>
      </c>
      <c r="D27" s="63" t="s">
        <v>59</v>
      </c>
      <c r="E27" s="63" t="s">
        <v>37</v>
      </c>
      <c r="F27" s="63" t="s">
        <v>38</v>
      </c>
      <c r="G27" s="63" t="s">
        <v>60</v>
      </c>
      <c r="H27" s="63" t="s">
        <v>61</v>
      </c>
      <c r="I27" s="63" t="s">
        <v>62</v>
      </c>
      <c r="J27" s="63" t="s">
        <v>20</v>
      </c>
      <c r="K27" s="63" t="s">
        <v>41</v>
      </c>
      <c r="L27" s="63" t="s">
        <v>14</v>
      </c>
      <c r="M27" s="64">
        <v>11979420</v>
      </c>
      <c r="N27" s="64">
        <v>11891956.560000001</v>
      </c>
      <c r="O27" s="64">
        <v>8057054.96</v>
      </c>
      <c r="P27" s="64">
        <v>8057054.96</v>
      </c>
    </row>
    <row r="28" spans="1:16" x14ac:dyDescent="0.2">
      <c r="A28" s="63" t="s">
        <v>42</v>
      </c>
      <c r="B28" s="63" t="s">
        <v>43</v>
      </c>
      <c r="C28" s="63" t="s">
        <v>35</v>
      </c>
      <c r="D28" s="63" t="s">
        <v>63</v>
      </c>
      <c r="E28" s="63" t="s">
        <v>37</v>
      </c>
      <c r="F28" s="63" t="s">
        <v>38</v>
      </c>
      <c r="G28" s="63" t="s">
        <v>64</v>
      </c>
      <c r="H28" s="63" t="s">
        <v>65</v>
      </c>
      <c r="I28" s="63" t="s">
        <v>11</v>
      </c>
      <c r="J28" s="63" t="s">
        <v>20</v>
      </c>
      <c r="K28" s="63" t="s">
        <v>41</v>
      </c>
      <c r="L28" s="63" t="s">
        <v>14</v>
      </c>
      <c r="M28" s="64">
        <v>62416.57</v>
      </c>
      <c r="N28" s="64">
        <v>62416.57</v>
      </c>
      <c r="O28" s="64">
        <v>62416.57</v>
      </c>
      <c r="P28" s="64">
        <v>62416.57</v>
      </c>
    </row>
    <row r="29" spans="1:16" x14ac:dyDescent="0.2">
      <c r="A29" s="63" t="s">
        <v>42</v>
      </c>
      <c r="B29" s="63" t="s">
        <v>43</v>
      </c>
      <c r="C29" s="63" t="s">
        <v>35</v>
      </c>
      <c r="D29" s="63" t="s">
        <v>63</v>
      </c>
      <c r="E29" s="63" t="s">
        <v>37</v>
      </c>
      <c r="F29" s="63" t="s">
        <v>38</v>
      </c>
      <c r="G29" s="63" t="s">
        <v>66</v>
      </c>
      <c r="H29" s="63" t="s">
        <v>67</v>
      </c>
      <c r="I29" s="63" t="s">
        <v>11</v>
      </c>
      <c r="J29" s="63" t="s">
        <v>20</v>
      </c>
      <c r="K29" s="63" t="s">
        <v>41</v>
      </c>
      <c r="L29" s="63" t="s">
        <v>14</v>
      </c>
      <c r="M29" s="64">
        <v>2135448</v>
      </c>
      <c r="N29" s="64">
        <v>2135448</v>
      </c>
      <c r="O29" s="64">
        <v>1597914</v>
      </c>
      <c r="P29" s="64">
        <v>1597914</v>
      </c>
    </row>
    <row r="30" spans="1:16" x14ac:dyDescent="0.2">
      <c r="A30" s="63" t="s">
        <v>42</v>
      </c>
      <c r="B30" s="63" t="s">
        <v>43</v>
      </c>
      <c r="C30" s="63" t="s">
        <v>35</v>
      </c>
      <c r="D30" s="63" t="s">
        <v>63</v>
      </c>
      <c r="E30" s="63" t="s">
        <v>37</v>
      </c>
      <c r="F30" s="63" t="s">
        <v>38</v>
      </c>
      <c r="G30" s="63" t="s">
        <v>68</v>
      </c>
      <c r="H30" s="63" t="s">
        <v>69</v>
      </c>
      <c r="I30" s="63" t="s">
        <v>11</v>
      </c>
      <c r="J30" s="63" t="s">
        <v>20</v>
      </c>
      <c r="K30" s="63" t="s">
        <v>41</v>
      </c>
      <c r="L30" s="63" t="s">
        <v>14</v>
      </c>
      <c r="M30" s="64">
        <v>1271000</v>
      </c>
      <c r="N30" s="64">
        <v>1271000</v>
      </c>
      <c r="O30" s="64">
        <v>773189.24</v>
      </c>
      <c r="P30" s="64">
        <v>773189.24</v>
      </c>
    </row>
    <row r="31" spans="1:16" x14ac:dyDescent="0.2">
      <c r="A31" s="63" t="s">
        <v>42</v>
      </c>
      <c r="B31" s="63" t="s">
        <v>43</v>
      </c>
      <c r="C31" s="63" t="s">
        <v>35</v>
      </c>
      <c r="D31" s="63" t="s">
        <v>63</v>
      </c>
      <c r="E31" s="63" t="s">
        <v>37</v>
      </c>
      <c r="F31" s="63" t="s">
        <v>38</v>
      </c>
      <c r="G31" s="63" t="s">
        <v>70</v>
      </c>
      <c r="H31" s="63" t="s">
        <v>71</v>
      </c>
      <c r="I31" s="63" t="s">
        <v>11</v>
      </c>
      <c r="J31" s="63" t="s">
        <v>20</v>
      </c>
      <c r="K31" s="63" t="s">
        <v>41</v>
      </c>
      <c r="L31" s="63" t="s">
        <v>14</v>
      </c>
      <c r="M31" s="64">
        <v>19565248</v>
      </c>
      <c r="N31" s="64">
        <v>19565248</v>
      </c>
      <c r="O31" s="64">
        <v>14535968.890000001</v>
      </c>
      <c r="P31" s="64">
        <v>14535968.890000001</v>
      </c>
    </row>
    <row r="32" spans="1:16" x14ac:dyDescent="0.2">
      <c r="A32" s="63" t="s">
        <v>42</v>
      </c>
      <c r="B32" s="63" t="s">
        <v>43</v>
      </c>
      <c r="C32" s="63" t="s">
        <v>35</v>
      </c>
      <c r="D32" s="63" t="s">
        <v>139</v>
      </c>
      <c r="E32" s="63" t="s">
        <v>37</v>
      </c>
      <c r="F32" s="63" t="s">
        <v>38</v>
      </c>
      <c r="G32" s="63" t="s">
        <v>52</v>
      </c>
      <c r="H32" s="63" t="s">
        <v>53</v>
      </c>
      <c r="I32" s="63" t="s">
        <v>11</v>
      </c>
      <c r="J32" s="63" t="s">
        <v>20</v>
      </c>
      <c r="K32" s="63" t="s">
        <v>41</v>
      </c>
      <c r="L32" s="63" t="s">
        <v>11</v>
      </c>
      <c r="M32" s="64">
        <v>45463442.210000001</v>
      </c>
      <c r="N32" s="64">
        <v>45463442.210000001</v>
      </c>
      <c r="O32" s="64">
        <v>45463442.210000001</v>
      </c>
      <c r="P32" s="64">
        <v>45463442.210000001</v>
      </c>
    </row>
    <row r="33" spans="1:16" x14ac:dyDescent="0.2">
      <c r="A33" s="63" t="s">
        <v>42</v>
      </c>
      <c r="B33" s="63" t="s">
        <v>43</v>
      </c>
      <c r="C33" s="63" t="s">
        <v>72</v>
      </c>
      <c r="D33" s="63" t="s">
        <v>73</v>
      </c>
      <c r="E33" s="63" t="s">
        <v>74</v>
      </c>
      <c r="F33" s="63" t="s">
        <v>75</v>
      </c>
      <c r="G33" s="63" t="s">
        <v>76</v>
      </c>
      <c r="H33" s="63" t="s">
        <v>119</v>
      </c>
      <c r="I33" s="63" t="s">
        <v>62</v>
      </c>
      <c r="J33" s="63" t="s">
        <v>18</v>
      </c>
      <c r="K33" s="63" t="s">
        <v>77</v>
      </c>
      <c r="L33" s="63" t="s">
        <v>11</v>
      </c>
      <c r="M33" s="64">
        <v>18490226.800000001</v>
      </c>
      <c r="N33" s="64">
        <v>18490226.800000001</v>
      </c>
      <c r="O33" s="64">
        <v>18490226.800000001</v>
      </c>
      <c r="P33" s="64">
        <v>17999420.359999999</v>
      </c>
    </row>
    <row r="34" spans="1:16" x14ac:dyDescent="0.2">
      <c r="A34" s="63" t="s">
        <v>42</v>
      </c>
      <c r="B34" s="63" t="s">
        <v>43</v>
      </c>
      <c r="C34" s="63" t="s">
        <v>72</v>
      </c>
      <c r="D34" s="63" t="s">
        <v>73</v>
      </c>
      <c r="E34" s="63" t="s">
        <v>74</v>
      </c>
      <c r="F34" s="63" t="s">
        <v>75</v>
      </c>
      <c r="G34" s="63" t="s">
        <v>76</v>
      </c>
      <c r="H34" s="63" t="s">
        <v>119</v>
      </c>
      <c r="I34" s="63" t="s">
        <v>62</v>
      </c>
      <c r="J34" s="63" t="s">
        <v>19</v>
      </c>
      <c r="K34" s="63" t="s">
        <v>78</v>
      </c>
      <c r="L34" s="63" t="s">
        <v>11</v>
      </c>
      <c r="M34" s="64">
        <v>55200000</v>
      </c>
      <c r="N34" s="64">
        <v>55200000</v>
      </c>
      <c r="O34" s="64">
        <v>55195528.859999999</v>
      </c>
      <c r="P34" s="64">
        <v>55195528.859999999</v>
      </c>
    </row>
    <row r="36" spans="1:16" x14ac:dyDescent="0.2">
      <c r="M36" s="56">
        <f>SUM(M9:M35)</f>
        <v>506632646.63</v>
      </c>
      <c r="N36" s="56">
        <f t="shared" ref="N36:P36" si="0">SUM(N9:N35)</f>
        <v>482334232.97999996</v>
      </c>
      <c r="O36" s="56">
        <f t="shared" si="0"/>
        <v>449323991.81999999</v>
      </c>
      <c r="P36" s="56">
        <f t="shared" si="0"/>
        <v>444432082.77999997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="70" zoomScaleNormal="70" workbookViewId="0">
      <selection activeCell="A33" sqref="A33:XFD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9" x14ac:dyDescent="0.2">
      <c r="A1" s="65" t="s">
        <v>120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10.5" customHeight="1" x14ac:dyDescent="0.2">
      <c r="A3" s="65" t="s">
        <v>121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0.5" customHeight="1" x14ac:dyDescent="0.2">
      <c r="A4" s="101" t="s">
        <v>147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65"/>
      <c r="R4" s="65"/>
      <c r="S4" s="65"/>
    </row>
    <row r="5" spans="1:19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2">
      <c r="A6" s="65" t="s">
        <v>23</v>
      </c>
      <c r="B6" s="65"/>
      <c r="C6" s="65" t="s">
        <v>24</v>
      </c>
      <c r="D6" s="65" t="s">
        <v>25</v>
      </c>
      <c r="E6" s="65" t="s">
        <v>26</v>
      </c>
      <c r="F6" s="65"/>
      <c r="G6" s="65" t="s">
        <v>27</v>
      </c>
      <c r="H6" s="65"/>
      <c r="I6" s="65" t="s">
        <v>28</v>
      </c>
      <c r="J6" s="65" t="s">
        <v>29</v>
      </c>
      <c r="K6" s="65" t="s">
        <v>30</v>
      </c>
      <c r="L6" s="65" t="s">
        <v>31</v>
      </c>
      <c r="M6" s="65" t="s">
        <v>32</v>
      </c>
      <c r="N6" s="65" t="s">
        <v>125</v>
      </c>
      <c r="O6" s="65" t="s">
        <v>126</v>
      </c>
      <c r="P6" s="65" t="s">
        <v>127</v>
      </c>
      <c r="Q6" s="65"/>
      <c r="R6" s="65"/>
      <c r="S6" s="65"/>
    </row>
    <row r="7" spans="1:19" x14ac:dyDescent="0.2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 t="s">
        <v>33</v>
      </c>
      <c r="N7" s="65" t="s">
        <v>128</v>
      </c>
      <c r="O7" s="65" t="s">
        <v>129</v>
      </c>
      <c r="P7" s="65" t="s">
        <v>130</v>
      </c>
      <c r="Q7" s="65"/>
      <c r="R7" s="65"/>
      <c r="S7" s="65"/>
    </row>
    <row r="8" spans="1:19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 t="s">
        <v>34</v>
      </c>
      <c r="M8" s="65" t="s">
        <v>143</v>
      </c>
      <c r="N8" s="65" t="s">
        <v>143</v>
      </c>
      <c r="O8" s="65" t="s">
        <v>143</v>
      </c>
      <c r="P8" s="65" t="s">
        <v>143</v>
      </c>
      <c r="Q8" s="65"/>
      <c r="R8" s="65"/>
      <c r="S8" s="65"/>
    </row>
    <row r="9" spans="1:19" x14ac:dyDescent="0.2">
      <c r="A9" s="65" t="s">
        <v>140</v>
      </c>
      <c r="B9" s="65" t="s">
        <v>141</v>
      </c>
      <c r="C9" s="65" t="s">
        <v>35</v>
      </c>
      <c r="D9" s="65" t="s">
        <v>44</v>
      </c>
      <c r="E9" s="65" t="s">
        <v>37</v>
      </c>
      <c r="F9" s="65" t="s">
        <v>38</v>
      </c>
      <c r="G9" s="65" t="s">
        <v>47</v>
      </c>
      <c r="H9" s="65" t="s">
        <v>48</v>
      </c>
      <c r="I9" s="65" t="s">
        <v>11</v>
      </c>
      <c r="J9" s="65" t="s">
        <v>20</v>
      </c>
      <c r="K9" s="65" t="s">
        <v>41</v>
      </c>
      <c r="L9" s="65" t="s">
        <v>15</v>
      </c>
      <c r="M9" s="5">
        <v>730000</v>
      </c>
      <c r="N9" s="65"/>
      <c r="O9" s="65"/>
      <c r="P9" s="65"/>
      <c r="Q9" s="65"/>
      <c r="R9" s="65"/>
      <c r="S9" s="65"/>
    </row>
    <row r="10" spans="1:19" x14ac:dyDescent="0.2">
      <c r="A10" s="65" t="s">
        <v>140</v>
      </c>
      <c r="B10" s="65" t="s">
        <v>141</v>
      </c>
      <c r="C10" s="65" t="s">
        <v>35</v>
      </c>
      <c r="D10" s="65" t="s">
        <v>44</v>
      </c>
      <c r="E10" s="65" t="s">
        <v>37</v>
      </c>
      <c r="F10" s="65" t="s">
        <v>38</v>
      </c>
      <c r="G10" s="65" t="s">
        <v>47</v>
      </c>
      <c r="H10" s="65" t="s">
        <v>48</v>
      </c>
      <c r="I10" s="65" t="s">
        <v>11</v>
      </c>
      <c r="J10" s="65" t="s">
        <v>76</v>
      </c>
      <c r="K10" s="65" t="s">
        <v>122</v>
      </c>
      <c r="L10" s="65" t="s">
        <v>15</v>
      </c>
      <c r="M10" s="5">
        <v>0</v>
      </c>
      <c r="N10" s="65"/>
      <c r="O10" s="65"/>
      <c r="P10" s="65"/>
      <c r="Q10" s="65"/>
      <c r="R10" s="65"/>
      <c r="S10" s="65"/>
    </row>
    <row r="11" spans="1:19" x14ac:dyDescent="0.2">
      <c r="A11" s="65" t="s">
        <v>42</v>
      </c>
      <c r="B11" s="65" t="s">
        <v>43</v>
      </c>
      <c r="C11" s="65" t="s">
        <v>35</v>
      </c>
      <c r="D11" s="65" t="s">
        <v>44</v>
      </c>
      <c r="E11" s="65" t="s">
        <v>37</v>
      </c>
      <c r="F11" s="65" t="s">
        <v>38</v>
      </c>
      <c r="G11" s="65" t="s">
        <v>45</v>
      </c>
      <c r="H11" s="65" t="s">
        <v>46</v>
      </c>
      <c r="I11" s="65" t="s">
        <v>11</v>
      </c>
      <c r="J11" s="65" t="s">
        <v>20</v>
      </c>
      <c r="K11" s="65" t="s">
        <v>41</v>
      </c>
      <c r="L11" s="65" t="s">
        <v>14</v>
      </c>
      <c r="M11" s="5">
        <v>15000</v>
      </c>
      <c r="N11" s="5">
        <v>15000</v>
      </c>
      <c r="O11" s="5">
        <v>1302.73</v>
      </c>
      <c r="P11" s="5">
        <v>1302.73</v>
      </c>
      <c r="Q11" s="65"/>
      <c r="R11" s="65"/>
      <c r="S11" s="65"/>
    </row>
    <row r="12" spans="1:19" x14ac:dyDescent="0.2">
      <c r="A12" s="65" t="s">
        <v>42</v>
      </c>
      <c r="B12" s="65" t="s">
        <v>43</v>
      </c>
      <c r="C12" s="65" t="s">
        <v>35</v>
      </c>
      <c r="D12" s="65" t="s">
        <v>44</v>
      </c>
      <c r="E12" s="65" t="s">
        <v>37</v>
      </c>
      <c r="F12" s="65" t="s">
        <v>38</v>
      </c>
      <c r="G12" s="65" t="s">
        <v>47</v>
      </c>
      <c r="H12" s="65" t="s">
        <v>48</v>
      </c>
      <c r="I12" s="65" t="s">
        <v>11</v>
      </c>
      <c r="J12" s="65" t="s">
        <v>20</v>
      </c>
      <c r="K12" s="65" t="s">
        <v>41</v>
      </c>
      <c r="L12" s="65" t="s">
        <v>15</v>
      </c>
      <c r="M12" s="5">
        <v>3022256</v>
      </c>
      <c r="N12" s="5">
        <v>247750.6</v>
      </c>
      <c r="O12" s="5">
        <v>77268.06</v>
      </c>
      <c r="P12" s="5">
        <v>77268.06</v>
      </c>
      <c r="Q12" s="65"/>
      <c r="R12" s="65"/>
      <c r="S12" s="65"/>
    </row>
    <row r="13" spans="1:19" x14ac:dyDescent="0.2">
      <c r="A13" s="65" t="s">
        <v>42</v>
      </c>
      <c r="B13" s="65" t="s">
        <v>43</v>
      </c>
      <c r="C13" s="65" t="s">
        <v>35</v>
      </c>
      <c r="D13" s="65" t="s">
        <v>44</v>
      </c>
      <c r="E13" s="65" t="s">
        <v>37</v>
      </c>
      <c r="F13" s="65" t="s">
        <v>38</v>
      </c>
      <c r="G13" s="65" t="s">
        <v>47</v>
      </c>
      <c r="H13" s="65" t="s">
        <v>48</v>
      </c>
      <c r="I13" s="65" t="s">
        <v>11</v>
      </c>
      <c r="J13" s="65" t="s">
        <v>20</v>
      </c>
      <c r="K13" s="65" t="s">
        <v>41</v>
      </c>
      <c r="L13" s="65" t="s">
        <v>14</v>
      </c>
      <c r="M13" s="5">
        <v>46266215</v>
      </c>
      <c r="N13" s="5">
        <v>42102529.799999997</v>
      </c>
      <c r="O13" s="5">
        <v>28113699.82</v>
      </c>
      <c r="P13" s="5">
        <v>27481514.77</v>
      </c>
      <c r="Q13" s="65"/>
      <c r="R13" s="65"/>
      <c r="S13" s="65"/>
    </row>
    <row r="14" spans="1:19" x14ac:dyDescent="0.2">
      <c r="A14" s="65" t="s">
        <v>42</v>
      </c>
      <c r="B14" s="65" t="s">
        <v>43</v>
      </c>
      <c r="C14" s="65" t="s">
        <v>35</v>
      </c>
      <c r="D14" s="65" t="s">
        <v>44</v>
      </c>
      <c r="E14" s="65" t="s">
        <v>37</v>
      </c>
      <c r="F14" s="65" t="s">
        <v>38</v>
      </c>
      <c r="G14" s="65" t="s">
        <v>47</v>
      </c>
      <c r="H14" s="65" t="s">
        <v>48</v>
      </c>
      <c r="I14" s="65" t="s">
        <v>11</v>
      </c>
      <c r="J14" s="65" t="s">
        <v>21</v>
      </c>
      <c r="K14" s="65" t="s">
        <v>49</v>
      </c>
      <c r="L14" s="65" t="s">
        <v>14</v>
      </c>
      <c r="M14" s="5">
        <v>6790890</v>
      </c>
      <c r="N14" s="5">
        <v>6790890</v>
      </c>
      <c r="O14" s="5">
        <v>5605576.8200000003</v>
      </c>
      <c r="P14" s="5">
        <v>5605576.8200000003</v>
      </c>
      <c r="Q14" s="65"/>
      <c r="R14" s="65"/>
      <c r="S14" s="65"/>
    </row>
    <row r="15" spans="1:19" x14ac:dyDescent="0.2">
      <c r="A15" s="65" t="s">
        <v>42</v>
      </c>
      <c r="B15" s="65" t="s">
        <v>43</v>
      </c>
      <c r="C15" s="65" t="s">
        <v>35</v>
      </c>
      <c r="D15" s="65" t="s">
        <v>44</v>
      </c>
      <c r="E15" s="65" t="s">
        <v>37</v>
      </c>
      <c r="F15" s="65" t="s">
        <v>38</v>
      </c>
      <c r="G15" s="65" t="s">
        <v>47</v>
      </c>
      <c r="H15" s="65" t="s">
        <v>48</v>
      </c>
      <c r="I15" s="65" t="s">
        <v>11</v>
      </c>
      <c r="J15" s="65" t="s">
        <v>22</v>
      </c>
      <c r="K15" s="65" t="s">
        <v>50</v>
      </c>
      <c r="L15" s="65" t="s">
        <v>14</v>
      </c>
      <c r="M15" s="5">
        <v>800000</v>
      </c>
      <c r="N15" s="65"/>
      <c r="O15" s="65"/>
      <c r="P15" s="65"/>
      <c r="Q15" s="65"/>
      <c r="R15" s="65"/>
      <c r="S15" s="65"/>
    </row>
    <row r="16" spans="1:19" x14ac:dyDescent="0.2">
      <c r="A16" s="65" t="s">
        <v>42</v>
      </c>
      <c r="B16" s="65" t="s">
        <v>43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48</v>
      </c>
      <c r="I16" s="65" t="s">
        <v>11</v>
      </c>
      <c r="J16" s="65" t="s">
        <v>76</v>
      </c>
      <c r="K16" s="65" t="s">
        <v>122</v>
      </c>
      <c r="L16" s="65" t="s">
        <v>15</v>
      </c>
      <c r="M16" s="5">
        <v>4951378</v>
      </c>
      <c r="N16" s="5">
        <v>3440573</v>
      </c>
      <c r="O16" s="65"/>
      <c r="P16" s="65"/>
      <c r="Q16" s="65"/>
      <c r="R16" s="65"/>
      <c r="S16" s="65"/>
    </row>
    <row r="17" spans="1:19" x14ac:dyDescent="0.2">
      <c r="A17" s="65" t="s">
        <v>42</v>
      </c>
      <c r="B17" s="65" t="s">
        <v>43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47</v>
      </c>
      <c r="H17" s="65" t="s">
        <v>48</v>
      </c>
      <c r="I17" s="65" t="s">
        <v>11</v>
      </c>
      <c r="J17" s="65" t="s">
        <v>76</v>
      </c>
      <c r="K17" s="65" t="s">
        <v>122</v>
      </c>
      <c r="L17" s="65" t="s">
        <v>14</v>
      </c>
      <c r="M17" s="5">
        <v>175000</v>
      </c>
      <c r="N17" s="5">
        <v>157660</v>
      </c>
      <c r="O17" s="65"/>
      <c r="P17" s="65"/>
      <c r="Q17" s="65"/>
      <c r="R17" s="65"/>
      <c r="S17" s="65"/>
    </row>
    <row r="18" spans="1:19" x14ac:dyDescent="0.2">
      <c r="A18" s="65" t="s">
        <v>42</v>
      </c>
      <c r="B18" s="65" t="s">
        <v>43</v>
      </c>
      <c r="C18" s="65" t="s">
        <v>35</v>
      </c>
      <c r="D18" s="65" t="s">
        <v>51</v>
      </c>
      <c r="E18" s="65" t="s">
        <v>37</v>
      </c>
      <c r="F18" s="65" t="s">
        <v>38</v>
      </c>
      <c r="G18" s="65" t="s">
        <v>133</v>
      </c>
      <c r="H18" s="65" t="s">
        <v>134</v>
      </c>
      <c r="I18" s="65" t="s">
        <v>11</v>
      </c>
      <c r="J18" s="65" t="s">
        <v>20</v>
      </c>
      <c r="K18" s="65" t="s">
        <v>41</v>
      </c>
      <c r="L18" s="65" t="s">
        <v>13</v>
      </c>
      <c r="M18" s="5">
        <v>0</v>
      </c>
      <c r="N18" s="65"/>
      <c r="O18" s="65"/>
      <c r="P18" s="65"/>
      <c r="Q18" s="65"/>
      <c r="R18" s="65"/>
      <c r="S18" s="65"/>
    </row>
    <row r="19" spans="1:19" x14ac:dyDescent="0.2">
      <c r="A19" s="65" t="s">
        <v>42</v>
      </c>
      <c r="B19" s="65" t="s">
        <v>43</v>
      </c>
      <c r="C19" s="65" t="s">
        <v>35</v>
      </c>
      <c r="D19" s="65" t="s">
        <v>51</v>
      </c>
      <c r="E19" s="65" t="s">
        <v>37</v>
      </c>
      <c r="F19" s="65" t="s">
        <v>38</v>
      </c>
      <c r="G19" s="65" t="s">
        <v>133</v>
      </c>
      <c r="H19" s="65" t="s">
        <v>134</v>
      </c>
      <c r="I19" s="65" t="s">
        <v>11</v>
      </c>
      <c r="J19" s="65" t="s">
        <v>135</v>
      </c>
      <c r="K19" s="65" t="s">
        <v>136</v>
      </c>
      <c r="L19" s="65" t="s">
        <v>13</v>
      </c>
      <c r="M19" s="5">
        <v>0</v>
      </c>
      <c r="N19" s="65"/>
      <c r="O19" s="65"/>
      <c r="P19" s="65"/>
      <c r="Q19" s="65"/>
      <c r="R19" s="65"/>
      <c r="S19" s="65"/>
    </row>
    <row r="20" spans="1:19" x14ac:dyDescent="0.2">
      <c r="A20" s="65" t="s">
        <v>42</v>
      </c>
      <c r="B20" s="65" t="s">
        <v>43</v>
      </c>
      <c r="C20" s="65" t="s">
        <v>35</v>
      </c>
      <c r="D20" s="65" t="s">
        <v>51</v>
      </c>
      <c r="E20" s="65" t="s">
        <v>37</v>
      </c>
      <c r="F20" s="65" t="s">
        <v>38</v>
      </c>
      <c r="G20" s="65" t="s">
        <v>137</v>
      </c>
      <c r="H20" s="65" t="s">
        <v>123</v>
      </c>
      <c r="I20" s="65" t="s">
        <v>11</v>
      </c>
      <c r="J20" s="65" t="s">
        <v>20</v>
      </c>
      <c r="K20" s="65" t="s">
        <v>41</v>
      </c>
      <c r="L20" s="65" t="s">
        <v>13</v>
      </c>
      <c r="M20" s="5">
        <v>0</v>
      </c>
      <c r="N20" s="65"/>
      <c r="O20" s="65"/>
      <c r="P20" s="65"/>
      <c r="Q20" s="65"/>
      <c r="R20" s="65"/>
      <c r="S20" s="65"/>
    </row>
    <row r="21" spans="1:19" x14ac:dyDescent="0.2">
      <c r="A21" s="65" t="s">
        <v>42</v>
      </c>
      <c r="B21" s="65" t="s">
        <v>43</v>
      </c>
      <c r="C21" s="65" t="s">
        <v>35</v>
      </c>
      <c r="D21" s="65" t="s">
        <v>51</v>
      </c>
      <c r="E21" s="65" t="s">
        <v>37</v>
      </c>
      <c r="F21" s="65" t="s">
        <v>38</v>
      </c>
      <c r="G21" s="65" t="s">
        <v>137</v>
      </c>
      <c r="H21" s="65" t="s">
        <v>123</v>
      </c>
      <c r="I21" s="65" t="s">
        <v>11</v>
      </c>
      <c r="J21" s="65" t="s">
        <v>76</v>
      </c>
      <c r="K21" s="65" t="s">
        <v>122</v>
      </c>
      <c r="L21" s="65" t="s">
        <v>13</v>
      </c>
      <c r="M21" s="5">
        <v>8000000</v>
      </c>
      <c r="N21" s="65"/>
      <c r="O21" s="65"/>
      <c r="P21" s="65"/>
      <c r="Q21" s="65"/>
      <c r="R21" s="65"/>
      <c r="S21" s="65"/>
    </row>
    <row r="22" spans="1:19" x14ac:dyDescent="0.2">
      <c r="A22" s="65" t="s">
        <v>42</v>
      </c>
      <c r="B22" s="65" t="s">
        <v>43</v>
      </c>
      <c r="C22" s="65" t="s">
        <v>35</v>
      </c>
      <c r="D22" s="65" t="s">
        <v>51</v>
      </c>
      <c r="E22" s="65" t="s">
        <v>37</v>
      </c>
      <c r="F22" s="65" t="s">
        <v>38</v>
      </c>
      <c r="G22" s="65" t="s">
        <v>138</v>
      </c>
      <c r="H22" s="65" t="s">
        <v>55</v>
      </c>
      <c r="I22" s="65" t="s">
        <v>11</v>
      </c>
      <c r="J22" s="65" t="s">
        <v>20</v>
      </c>
      <c r="K22" s="65" t="s">
        <v>41</v>
      </c>
      <c r="L22" s="65" t="s">
        <v>15</v>
      </c>
      <c r="M22" s="5">
        <v>0</v>
      </c>
      <c r="N22" s="65"/>
      <c r="O22" s="65"/>
      <c r="P22" s="65"/>
      <c r="Q22" s="65"/>
      <c r="R22" s="65"/>
      <c r="S22" s="65"/>
    </row>
    <row r="23" spans="1:19" x14ac:dyDescent="0.2">
      <c r="A23" s="65" t="s">
        <v>42</v>
      </c>
      <c r="B23" s="65" t="s">
        <v>43</v>
      </c>
      <c r="C23" s="65" t="s">
        <v>35</v>
      </c>
      <c r="D23" s="65" t="s">
        <v>51</v>
      </c>
      <c r="E23" s="65" t="s">
        <v>37</v>
      </c>
      <c r="F23" s="65" t="s">
        <v>38</v>
      </c>
      <c r="G23" s="65" t="s">
        <v>54</v>
      </c>
      <c r="H23" s="65" t="s">
        <v>117</v>
      </c>
      <c r="I23" s="65" t="s">
        <v>11</v>
      </c>
      <c r="J23" s="65" t="s">
        <v>20</v>
      </c>
      <c r="K23" s="65" t="s">
        <v>41</v>
      </c>
      <c r="L23" s="65" t="s">
        <v>11</v>
      </c>
      <c r="M23" s="5">
        <v>301563488.88999999</v>
      </c>
      <c r="N23" s="5">
        <v>301563488.88999999</v>
      </c>
      <c r="O23" s="5">
        <v>301563488.88999999</v>
      </c>
      <c r="P23" s="5">
        <v>299859923.61000001</v>
      </c>
      <c r="Q23" s="65"/>
      <c r="R23" s="65"/>
      <c r="S23" s="65"/>
    </row>
    <row r="24" spans="1:19" x14ac:dyDescent="0.2">
      <c r="A24" s="65" t="s">
        <v>42</v>
      </c>
      <c r="B24" s="65" t="s">
        <v>43</v>
      </c>
      <c r="C24" s="65" t="s">
        <v>35</v>
      </c>
      <c r="D24" s="65" t="s">
        <v>51</v>
      </c>
      <c r="E24" s="65" t="s">
        <v>37</v>
      </c>
      <c r="F24" s="65" t="s">
        <v>38</v>
      </c>
      <c r="G24" s="65" t="s">
        <v>124</v>
      </c>
      <c r="H24" s="65" t="s">
        <v>118</v>
      </c>
      <c r="I24" s="65" t="s">
        <v>11</v>
      </c>
      <c r="J24" s="65" t="s">
        <v>20</v>
      </c>
      <c r="K24" s="65" t="s">
        <v>41</v>
      </c>
      <c r="L24" s="65" t="s">
        <v>14</v>
      </c>
      <c r="M24" s="5">
        <v>2303742</v>
      </c>
      <c r="N24" s="5">
        <v>1911439.97</v>
      </c>
      <c r="O24" s="5">
        <v>1911439.97</v>
      </c>
      <c r="P24" s="5">
        <v>1911439.97</v>
      </c>
      <c r="Q24" s="65"/>
      <c r="R24" s="65"/>
      <c r="S24" s="65"/>
    </row>
    <row r="25" spans="1:19" x14ac:dyDescent="0.2">
      <c r="A25" s="65" t="s">
        <v>42</v>
      </c>
      <c r="B25" s="65" t="s">
        <v>43</v>
      </c>
      <c r="C25" s="65" t="s">
        <v>35</v>
      </c>
      <c r="D25" s="65" t="s">
        <v>36</v>
      </c>
      <c r="E25" s="65" t="s">
        <v>37</v>
      </c>
      <c r="F25" s="65" t="s">
        <v>38</v>
      </c>
      <c r="G25" s="65" t="s">
        <v>39</v>
      </c>
      <c r="H25" s="65" t="s">
        <v>40</v>
      </c>
      <c r="I25" s="65" t="s">
        <v>11</v>
      </c>
      <c r="J25" s="65" t="s">
        <v>20</v>
      </c>
      <c r="K25" s="65" t="s">
        <v>41</v>
      </c>
      <c r="L25" s="65" t="s">
        <v>14</v>
      </c>
      <c r="M25" s="5">
        <v>850997</v>
      </c>
      <c r="N25" s="5">
        <v>850888.2</v>
      </c>
      <c r="O25" s="5">
        <v>705291.39</v>
      </c>
      <c r="P25" s="5">
        <v>705291.39</v>
      </c>
      <c r="Q25" s="65"/>
      <c r="R25" s="65"/>
      <c r="S25" s="65"/>
    </row>
    <row r="26" spans="1:19" x14ac:dyDescent="0.2">
      <c r="A26" s="65" t="s">
        <v>42</v>
      </c>
      <c r="B26" s="65" t="s">
        <v>43</v>
      </c>
      <c r="C26" s="65" t="s">
        <v>35</v>
      </c>
      <c r="D26" s="65" t="s">
        <v>56</v>
      </c>
      <c r="E26" s="65" t="s">
        <v>37</v>
      </c>
      <c r="F26" s="65" t="s">
        <v>38</v>
      </c>
      <c r="G26" s="65" t="s">
        <v>57</v>
      </c>
      <c r="H26" s="65" t="s">
        <v>58</v>
      </c>
      <c r="I26" s="65" t="s">
        <v>11</v>
      </c>
      <c r="J26" s="65" t="s">
        <v>20</v>
      </c>
      <c r="K26" s="65" t="s">
        <v>41</v>
      </c>
      <c r="L26" s="65" t="s">
        <v>14</v>
      </c>
      <c r="M26" s="5">
        <v>517525</v>
      </c>
      <c r="N26" s="5">
        <v>420233</v>
      </c>
      <c r="O26" s="5">
        <v>361180.36</v>
      </c>
      <c r="P26" s="5">
        <v>361180.36</v>
      </c>
      <c r="Q26" s="65"/>
      <c r="R26" s="65"/>
      <c r="S26" s="65"/>
    </row>
    <row r="27" spans="1:19" x14ac:dyDescent="0.2">
      <c r="A27" s="65" t="s">
        <v>42</v>
      </c>
      <c r="B27" s="65" t="s">
        <v>43</v>
      </c>
      <c r="C27" s="65" t="s">
        <v>35</v>
      </c>
      <c r="D27" s="65" t="s">
        <v>59</v>
      </c>
      <c r="E27" s="65" t="s">
        <v>37</v>
      </c>
      <c r="F27" s="65" t="s">
        <v>38</v>
      </c>
      <c r="G27" s="65" t="s">
        <v>60</v>
      </c>
      <c r="H27" s="65" t="s">
        <v>61</v>
      </c>
      <c r="I27" s="65" t="s">
        <v>62</v>
      </c>
      <c r="J27" s="65" t="s">
        <v>20</v>
      </c>
      <c r="K27" s="65" t="s">
        <v>41</v>
      </c>
      <c r="L27" s="65" t="s">
        <v>15</v>
      </c>
      <c r="M27" s="5">
        <v>15000</v>
      </c>
      <c r="N27" s="65"/>
      <c r="O27" s="65"/>
      <c r="P27" s="65"/>
      <c r="Q27" s="65"/>
      <c r="R27" s="65"/>
      <c r="S27" s="65"/>
    </row>
    <row r="28" spans="1:19" x14ac:dyDescent="0.2">
      <c r="A28" s="65" t="s">
        <v>42</v>
      </c>
      <c r="B28" s="65" t="s">
        <v>43</v>
      </c>
      <c r="C28" s="65" t="s">
        <v>35</v>
      </c>
      <c r="D28" s="65" t="s">
        <v>59</v>
      </c>
      <c r="E28" s="65" t="s">
        <v>37</v>
      </c>
      <c r="F28" s="65" t="s">
        <v>38</v>
      </c>
      <c r="G28" s="65" t="s">
        <v>60</v>
      </c>
      <c r="H28" s="65" t="s">
        <v>61</v>
      </c>
      <c r="I28" s="65" t="s">
        <v>62</v>
      </c>
      <c r="J28" s="65" t="s">
        <v>20</v>
      </c>
      <c r="K28" s="65" t="s">
        <v>41</v>
      </c>
      <c r="L28" s="65" t="s">
        <v>14</v>
      </c>
      <c r="M28" s="5">
        <v>12317400</v>
      </c>
      <c r="N28" s="5">
        <v>11891956.560000001</v>
      </c>
      <c r="O28" s="5">
        <v>9087837.3599999994</v>
      </c>
      <c r="P28" s="5">
        <v>9087837.3599999994</v>
      </c>
      <c r="Q28" s="65"/>
      <c r="R28" s="65"/>
      <c r="S28" s="65"/>
    </row>
    <row r="29" spans="1:19" x14ac:dyDescent="0.2">
      <c r="A29" s="65" t="s">
        <v>42</v>
      </c>
      <c r="B29" s="65" t="s">
        <v>43</v>
      </c>
      <c r="C29" s="65" t="s">
        <v>35</v>
      </c>
      <c r="D29" s="65" t="s">
        <v>63</v>
      </c>
      <c r="E29" s="65" t="s">
        <v>37</v>
      </c>
      <c r="F29" s="65" t="s">
        <v>38</v>
      </c>
      <c r="G29" s="65" t="s">
        <v>64</v>
      </c>
      <c r="H29" s="65" t="s">
        <v>65</v>
      </c>
      <c r="I29" s="65" t="s">
        <v>11</v>
      </c>
      <c r="J29" s="65" t="s">
        <v>20</v>
      </c>
      <c r="K29" s="65" t="s">
        <v>41</v>
      </c>
      <c r="L29" s="65" t="s">
        <v>14</v>
      </c>
      <c r="M29" s="5">
        <v>93546.93</v>
      </c>
      <c r="N29" s="5">
        <v>93546.93</v>
      </c>
      <c r="O29" s="5">
        <v>93546.93</v>
      </c>
      <c r="P29" s="5">
        <v>93546.93</v>
      </c>
      <c r="Q29" s="65"/>
      <c r="R29" s="65"/>
      <c r="S29" s="65"/>
    </row>
    <row r="30" spans="1:19" x14ac:dyDescent="0.2">
      <c r="A30" s="65" t="s">
        <v>42</v>
      </c>
      <c r="B30" s="65" t="s">
        <v>43</v>
      </c>
      <c r="C30" s="65" t="s">
        <v>35</v>
      </c>
      <c r="D30" s="65" t="s">
        <v>63</v>
      </c>
      <c r="E30" s="65" t="s">
        <v>37</v>
      </c>
      <c r="F30" s="65" t="s">
        <v>38</v>
      </c>
      <c r="G30" s="65" t="s">
        <v>66</v>
      </c>
      <c r="H30" s="65" t="s">
        <v>67</v>
      </c>
      <c r="I30" s="65" t="s">
        <v>11</v>
      </c>
      <c r="J30" s="65" t="s">
        <v>20</v>
      </c>
      <c r="K30" s="65" t="s">
        <v>41</v>
      </c>
      <c r="L30" s="65" t="s">
        <v>14</v>
      </c>
      <c r="M30" s="5">
        <v>2135448</v>
      </c>
      <c r="N30" s="5">
        <v>2135448</v>
      </c>
      <c r="O30" s="5">
        <v>1782450</v>
      </c>
      <c r="P30" s="5">
        <v>1782450</v>
      </c>
      <c r="Q30" s="65"/>
      <c r="R30" s="65"/>
      <c r="S30" s="65"/>
    </row>
    <row r="31" spans="1:19" x14ac:dyDescent="0.2">
      <c r="A31" s="65" t="s">
        <v>42</v>
      </c>
      <c r="B31" s="65" t="s">
        <v>43</v>
      </c>
      <c r="C31" s="65" t="s">
        <v>35</v>
      </c>
      <c r="D31" s="65" t="s">
        <v>63</v>
      </c>
      <c r="E31" s="65" t="s">
        <v>37</v>
      </c>
      <c r="F31" s="65" t="s">
        <v>38</v>
      </c>
      <c r="G31" s="65" t="s">
        <v>68</v>
      </c>
      <c r="H31" s="65" t="s">
        <v>69</v>
      </c>
      <c r="I31" s="65" t="s">
        <v>11</v>
      </c>
      <c r="J31" s="65" t="s">
        <v>20</v>
      </c>
      <c r="K31" s="65" t="s">
        <v>41</v>
      </c>
      <c r="L31" s="65" t="s">
        <v>14</v>
      </c>
      <c r="M31" s="5">
        <v>1236000</v>
      </c>
      <c r="N31" s="5">
        <v>1236000</v>
      </c>
      <c r="O31" s="5">
        <v>858583.65</v>
      </c>
      <c r="P31" s="5">
        <v>858583.65</v>
      </c>
      <c r="Q31" s="65"/>
      <c r="R31" s="65"/>
      <c r="S31" s="65"/>
    </row>
    <row r="32" spans="1:19" x14ac:dyDescent="0.2">
      <c r="A32" s="65" t="s">
        <v>42</v>
      </c>
      <c r="B32" s="65" t="s">
        <v>43</v>
      </c>
      <c r="C32" s="65" t="s">
        <v>35</v>
      </c>
      <c r="D32" s="65" t="s">
        <v>63</v>
      </c>
      <c r="E32" s="65" t="s">
        <v>37</v>
      </c>
      <c r="F32" s="65" t="s">
        <v>38</v>
      </c>
      <c r="G32" s="65" t="s">
        <v>70</v>
      </c>
      <c r="H32" s="65" t="s">
        <v>71</v>
      </c>
      <c r="I32" s="65" t="s">
        <v>11</v>
      </c>
      <c r="J32" s="65" t="s">
        <v>20</v>
      </c>
      <c r="K32" s="65" t="s">
        <v>41</v>
      </c>
      <c r="L32" s="65" t="s">
        <v>14</v>
      </c>
      <c r="M32" s="5">
        <v>19565248</v>
      </c>
      <c r="N32" s="5">
        <v>19565248</v>
      </c>
      <c r="O32" s="5">
        <v>16163413.1</v>
      </c>
      <c r="P32" s="5">
        <v>16163413.1</v>
      </c>
      <c r="Q32" s="65"/>
      <c r="R32" s="65"/>
      <c r="S32" s="65"/>
    </row>
    <row r="33" spans="1:19" x14ac:dyDescent="0.2">
      <c r="A33" s="65" t="s">
        <v>42</v>
      </c>
      <c r="B33" s="65" t="s">
        <v>43</v>
      </c>
      <c r="C33" s="65" t="s">
        <v>35</v>
      </c>
      <c r="D33" s="65" t="s">
        <v>139</v>
      </c>
      <c r="E33" s="65" t="s">
        <v>37</v>
      </c>
      <c r="F33" s="65" t="s">
        <v>38</v>
      </c>
      <c r="G33" s="65" t="s">
        <v>52</v>
      </c>
      <c r="H33" s="65" t="s">
        <v>53</v>
      </c>
      <c r="I33" s="65" t="s">
        <v>11</v>
      </c>
      <c r="J33" s="65" t="s">
        <v>20</v>
      </c>
      <c r="K33" s="65" t="s">
        <v>41</v>
      </c>
      <c r="L33" s="65" t="s">
        <v>11</v>
      </c>
      <c r="M33" s="5">
        <v>50606920.289999999</v>
      </c>
      <c r="N33" s="5">
        <v>50606920.289999999</v>
      </c>
      <c r="O33" s="5">
        <v>50606920.289999999</v>
      </c>
      <c r="P33" s="5">
        <v>50606920.289999999</v>
      </c>
      <c r="Q33" s="65"/>
      <c r="R33" s="65"/>
      <c r="S33" s="65"/>
    </row>
    <row r="34" spans="1:19" x14ac:dyDescent="0.2">
      <c r="A34" s="65" t="s">
        <v>42</v>
      </c>
      <c r="B34" s="65" t="s">
        <v>43</v>
      </c>
      <c r="C34" s="65" t="s">
        <v>72</v>
      </c>
      <c r="D34" s="65" t="s">
        <v>73</v>
      </c>
      <c r="E34" s="65" t="s">
        <v>74</v>
      </c>
      <c r="F34" s="65" t="s">
        <v>75</v>
      </c>
      <c r="G34" s="65" t="s">
        <v>76</v>
      </c>
      <c r="H34" s="65" t="s">
        <v>119</v>
      </c>
      <c r="I34" s="65" t="s">
        <v>62</v>
      </c>
      <c r="J34" s="65" t="s">
        <v>18</v>
      </c>
      <c r="K34" s="65" t="s">
        <v>77</v>
      </c>
      <c r="L34" s="65" t="s">
        <v>11</v>
      </c>
      <c r="M34" s="5">
        <v>26589416.050000001</v>
      </c>
      <c r="N34" s="5">
        <v>26589416.050000001</v>
      </c>
      <c r="O34" s="5">
        <v>26589416.050000001</v>
      </c>
      <c r="P34" s="5">
        <v>26102719.879999999</v>
      </c>
      <c r="Q34" s="65"/>
      <c r="R34" s="65"/>
      <c r="S34" s="65"/>
    </row>
    <row r="35" spans="1:19" x14ac:dyDescent="0.2">
      <c r="A35" s="65" t="s">
        <v>42</v>
      </c>
      <c r="B35" s="65" t="s">
        <v>43</v>
      </c>
      <c r="C35" s="65" t="s">
        <v>72</v>
      </c>
      <c r="D35" s="65" t="s">
        <v>73</v>
      </c>
      <c r="E35" s="65" t="s">
        <v>74</v>
      </c>
      <c r="F35" s="65" t="s">
        <v>75</v>
      </c>
      <c r="G35" s="65" t="s">
        <v>76</v>
      </c>
      <c r="H35" s="65" t="s">
        <v>119</v>
      </c>
      <c r="I35" s="65" t="s">
        <v>62</v>
      </c>
      <c r="J35" s="65" t="s">
        <v>19</v>
      </c>
      <c r="K35" s="65" t="s">
        <v>78</v>
      </c>
      <c r="L35" s="65" t="s">
        <v>11</v>
      </c>
      <c r="M35" s="5">
        <v>55200000</v>
      </c>
      <c r="N35" s="5">
        <v>55200000</v>
      </c>
      <c r="O35" s="5">
        <v>55200000</v>
      </c>
      <c r="P35" s="5">
        <v>55200000</v>
      </c>
      <c r="Q35" s="65"/>
      <c r="R35" s="65"/>
      <c r="S35" s="65"/>
    </row>
    <row r="37" spans="1:19" x14ac:dyDescent="0.2">
      <c r="M37" s="56">
        <f>SUM(M9:M36)</f>
        <v>543745471.16000009</v>
      </c>
      <c r="N37" s="56">
        <f t="shared" ref="N37:P37" si="0">SUM(N9:N36)</f>
        <v>524818989.29000002</v>
      </c>
      <c r="O37" s="56">
        <f t="shared" si="0"/>
        <v>498721415.42000008</v>
      </c>
      <c r="P37" s="56">
        <f t="shared" si="0"/>
        <v>495898968.92000008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70" zoomScaleNormal="70" workbookViewId="0">
      <selection activeCell="A33" sqref="A33:XFD33"/>
    </sheetView>
  </sheetViews>
  <sheetFormatPr defaultRowHeight="12.75" x14ac:dyDescent="0.2"/>
  <cols>
    <col min="13" max="16" width="13.7109375" customWidth="1"/>
  </cols>
  <sheetData>
    <row r="1" spans="1:20" x14ac:dyDescent="0.2">
      <c r="A1" s="66" t="s">
        <v>120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0.5" customHeight="1" x14ac:dyDescent="0.2">
      <c r="A3" s="66" t="s">
        <v>121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0" ht="10.5" customHeight="1" x14ac:dyDescent="0.2">
      <c r="A4" s="101" t="s">
        <v>148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66"/>
      <c r="R4" s="66"/>
      <c r="S4" s="66"/>
      <c r="T4" s="66"/>
    </row>
    <row r="5" spans="1:20" s="66" customFormat="1" ht="10.5" customHeight="1" x14ac:dyDescent="0.2"/>
    <row r="6" spans="1:20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spans="1:20" x14ac:dyDescent="0.2">
      <c r="A7" s="66" t="s">
        <v>23</v>
      </c>
      <c r="B7" s="66"/>
      <c r="C7" s="66" t="s">
        <v>24</v>
      </c>
      <c r="D7" s="66" t="s">
        <v>25</v>
      </c>
      <c r="E7" s="66" t="s">
        <v>26</v>
      </c>
      <c r="F7" s="66"/>
      <c r="G7" s="66" t="s">
        <v>27</v>
      </c>
      <c r="H7" s="66"/>
      <c r="I7" s="66" t="s">
        <v>28</v>
      </c>
      <c r="J7" s="66" t="s">
        <v>29</v>
      </c>
      <c r="K7" s="66" t="s">
        <v>30</v>
      </c>
      <c r="L7" s="66" t="s">
        <v>31</v>
      </c>
      <c r="M7" s="66" t="s">
        <v>32</v>
      </c>
      <c r="N7" s="66" t="s">
        <v>125</v>
      </c>
      <c r="O7" s="66" t="s">
        <v>126</v>
      </c>
      <c r="P7" s="66" t="s">
        <v>127</v>
      </c>
      <c r="Q7" s="66"/>
      <c r="R7" s="66"/>
      <c r="S7" s="66"/>
      <c r="T7" s="66"/>
    </row>
    <row r="8" spans="1:20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33</v>
      </c>
      <c r="N8" s="66" t="s">
        <v>128</v>
      </c>
      <c r="O8" s="66" t="s">
        <v>129</v>
      </c>
      <c r="P8" s="66" t="s">
        <v>130</v>
      </c>
      <c r="Q8" s="66"/>
      <c r="R8" s="66"/>
      <c r="S8" s="66"/>
      <c r="T8" s="66"/>
    </row>
    <row r="9" spans="1:20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34</v>
      </c>
      <c r="M9" s="66" t="s">
        <v>143</v>
      </c>
      <c r="N9" s="66" t="s">
        <v>143</v>
      </c>
      <c r="O9" s="66" t="s">
        <v>143</v>
      </c>
      <c r="P9" s="66" t="s">
        <v>143</v>
      </c>
      <c r="Q9" s="66"/>
      <c r="R9" s="66"/>
      <c r="S9" s="66"/>
      <c r="T9" s="66"/>
    </row>
    <row r="10" spans="1:20" x14ac:dyDescent="0.2">
      <c r="A10" s="66" t="s">
        <v>140</v>
      </c>
      <c r="B10" s="66" t="s">
        <v>141</v>
      </c>
      <c r="C10" s="66" t="s">
        <v>35</v>
      </c>
      <c r="D10" s="66" t="s">
        <v>44</v>
      </c>
      <c r="E10" s="66" t="s">
        <v>37</v>
      </c>
      <c r="F10" s="66" t="s">
        <v>38</v>
      </c>
      <c r="G10" s="66" t="s">
        <v>47</v>
      </c>
      <c r="H10" s="66" t="s">
        <v>48</v>
      </c>
      <c r="I10" s="66" t="s">
        <v>11</v>
      </c>
      <c r="J10" s="66" t="s">
        <v>20</v>
      </c>
      <c r="K10" s="66" t="s">
        <v>41</v>
      </c>
      <c r="L10" s="66" t="s">
        <v>15</v>
      </c>
      <c r="M10" s="5">
        <v>730000</v>
      </c>
      <c r="N10" s="66"/>
      <c r="O10" s="66"/>
      <c r="P10" s="66"/>
      <c r="Q10" s="66"/>
      <c r="R10" s="66"/>
      <c r="S10" s="66"/>
      <c r="T10" s="66"/>
    </row>
    <row r="11" spans="1:20" x14ac:dyDescent="0.2">
      <c r="A11" s="66" t="s">
        <v>140</v>
      </c>
      <c r="B11" s="66" t="s">
        <v>141</v>
      </c>
      <c r="C11" s="66" t="s">
        <v>35</v>
      </c>
      <c r="D11" s="66" t="s">
        <v>44</v>
      </c>
      <c r="E11" s="66" t="s">
        <v>37</v>
      </c>
      <c r="F11" s="66" t="s">
        <v>38</v>
      </c>
      <c r="G11" s="66" t="s">
        <v>47</v>
      </c>
      <c r="H11" s="66" t="s">
        <v>48</v>
      </c>
      <c r="I11" s="66" t="s">
        <v>11</v>
      </c>
      <c r="J11" s="66" t="s">
        <v>76</v>
      </c>
      <c r="K11" s="66" t="s">
        <v>122</v>
      </c>
      <c r="L11" s="66" t="s">
        <v>15</v>
      </c>
      <c r="M11" s="5">
        <v>0</v>
      </c>
      <c r="N11" s="66"/>
      <c r="O11" s="66"/>
      <c r="P11" s="66"/>
      <c r="Q11" s="66"/>
      <c r="R11" s="66"/>
      <c r="S11" s="66"/>
      <c r="T11" s="66"/>
    </row>
    <row r="12" spans="1:20" x14ac:dyDescent="0.2">
      <c r="A12" s="66" t="s">
        <v>42</v>
      </c>
      <c r="B12" s="66" t="s">
        <v>43</v>
      </c>
      <c r="C12" s="66" t="s">
        <v>35</v>
      </c>
      <c r="D12" s="66" t="s">
        <v>44</v>
      </c>
      <c r="E12" s="66" t="s">
        <v>37</v>
      </c>
      <c r="F12" s="66" t="s">
        <v>38</v>
      </c>
      <c r="G12" s="66" t="s">
        <v>45</v>
      </c>
      <c r="H12" s="66" t="s">
        <v>46</v>
      </c>
      <c r="I12" s="66" t="s">
        <v>11</v>
      </c>
      <c r="J12" s="66" t="s">
        <v>20</v>
      </c>
      <c r="K12" s="66" t="s">
        <v>41</v>
      </c>
      <c r="L12" s="66" t="s">
        <v>14</v>
      </c>
      <c r="M12" s="5">
        <v>15000</v>
      </c>
      <c r="N12" s="5">
        <v>15000</v>
      </c>
      <c r="O12" s="5">
        <v>1302.73</v>
      </c>
      <c r="P12" s="5">
        <v>1302.73</v>
      </c>
      <c r="Q12" s="66"/>
      <c r="R12" s="66"/>
      <c r="S12" s="66"/>
      <c r="T12" s="66"/>
    </row>
    <row r="13" spans="1:20" x14ac:dyDescent="0.2">
      <c r="A13" s="66" t="s">
        <v>42</v>
      </c>
      <c r="B13" s="66" t="s">
        <v>43</v>
      </c>
      <c r="C13" s="66" t="s">
        <v>35</v>
      </c>
      <c r="D13" s="66" t="s">
        <v>44</v>
      </c>
      <c r="E13" s="66" t="s">
        <v>37</v>
      </c>
      <c r="F13" s="66" t="s">
        <v>38</v>
      </c>
      <c r="G13" s="66" t="s">
        <v>47</v>
      </c>
      <c r="H13" s="66" t="s">
        <v>48</v>
      </c>
      <c r="I13" s="66" t="s">
        <v>11</v>
      </c>
      <c r="J13" s="66" t="s">
        <v>20</v>
      </c>
      <c r="K13" s="66" t="s">
        <v>41</v>
      </c>
      <c r="L13" s="66" t="s">
        <v>15</v>
      </c>
      <c r="M13" s="5">
        <v>4592416</v>
      </c>
      <c r="N13" s="5">
        <v>251935.6</v>
      </c>
      <c r="O13" s="5">
        <v>77268.06</v>
      </c>
      <c r="P13" s="5">
        <v>77268.06</v>
      </c>
      <c r="Q13" s="66"/>
      <c r="R13" s="66"/>
      <c r="S13" s="66"/>
      <c r="T13" s="66"/>
    </row>
    <row r="14" spans="1:20" x14ac:dyDescent="0.2">
      <c r="A14" s="66" t="s">
        <v>42</v>
      </c>
      <c r="B14" s="66" t="s">
        <v>43</v>
      </c>
      <c r="C14" s="66" t="s">
        <v>35</v>
      </c>
      <c r="D14" s="66" t="s">
        <v>44</v>
      </c>
      <c r="E14" s="66" t="s">
        <v>37</v>
      </c>
      <c r="F14" s="66" t="s">
        <v>38</v>
      </c>
      <c r="G14" s="66" t="s">
        <v>47</v>
      </c>
      <c r="H14" s="66" t="s">
        <v>48</v>
      </c>
      <c r="I14" s="66" t="s">
        <v>11</v>
      </c>
      <c r="J14" s="66" t="s">
        <v>20</v>
      </c>
      <c r="K14" s="66" t="s">
        <v>41</v>
      </c>
      <c r="L14" s="66" t="s">
        <v>14</v>
      </c>
      <c r="M14" s="5">
        <v>46266215</v>
      </c>
      <c r="N14" s="5">
        <v>42502473.509999998</v>
      </c>
      <c r="O14" s="5">
        <v>31488285.960000001</v>
      </c>
      <c r="P14" s="5">
        <v>29304033.699999999</v>
      </c>
      <c r="Q14" s="66"/>
      <c r="R14" s="66"/>
      <c r="S14" s="66"/>
      <c r="T14" s="66"/>
    </row>
    <row r="15" spans="1:20" x14ac:dyDescent="0.2">
      <c r="A15" s="66" t="s">
        <v>42</v>
      </c>
      <c r="B15" s="66" t="s">
        <v>43</v>
      </c>
      <c r="C15" s="66" t="s">
        <v>35</v>
      </c>
      <c r="D15" s="66" t="s">
        <v>44</v>
      </c>
      <c r="E15" s="66" t="s">
        <v>37</v>
      </c>
      <c r="F15" s="66" t="s">
        <v>38</v>
      </c>
      <c r="G15" s="66" t="s">
        <v>47</v>
      </c>
      <c r="H15" s="66" t="s">
        <v>48</v>
      </c>
      <c r="I15" s="66" t="s">
        <v>11</v>
      </c>
      <c r="J15" s="66" t="s">
        <v>21</v>
      </c>
      <c r="K15" s="66" t="s">
        <v>49</v>
      </c>
      <c r="L15" s="66" t="s">
        <v>14</v>
      </c>
      <c r="M15" s="5">
        <v>6790890</v>
      </c>
      <c r="N15" s="5">
        <v>6790890</v>
      </c>
      <c r="O15" s="5">
        <v>6002810.6399999997</v>
      </c>
      <c r="P15" s="5">
        <v>6002093.2599999998</v>
      </c>
      <c r="Q15" s="66"/>
      <c r="R15" s="66"/>
      <c r="S15" s="66"/>
      <c r="T15" s="66"/>
    </row>
    <row r="16" spans="1:20" x14ac:dyDescent="0.2">
      <c r="A16" s="66" t="s">
        <v>42</v>
      </c>
      <c r="B16" s="66" t="s">
        <v>43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48</v>
      </c>
      <c r="I16" s="66" t="s">
        <v>11</v>
      </c>
      <c r="J16" s="66" t="s">
        <v>22</v>
      </c>
      <c r="K16" s="66" t="s">
        <v>50</v>
      </c>
      <c r="L16" s="66" t="s">
        <v>14</v>
      </c>
      <c r="M16" s="5">
        <v>800000</v>
      </c>
      <c r="N16" s="66"/>
      <c r="O16" s="66"/>
      <c r="P16" s="66"/>
      <c r="Q16" s="66"/>
      <c r="R16" s="66"/>
      <c r="S16" s="66"/>
      <c r="T16" s="66"/>
    </row>
    <row r="17" spans="1:20" x14ac:dyDescent="0.2">
      <c r="A17" s="66" t="s">
        <v>42</v>
      </c>
      <c r="B17" s="66" t="s">
        <v>43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47</v>
      </c>
      <c r="H17" s="66" t="s">
        <v>48</v>
      </c>
      <c r="I17" s="66" t="s">
        <v>11</v>
      </c>
      <c r="J17" s="66" t="s">
        <v>76</v>
      </c>
      <c r="K17" s="66" t="s">
        <v>122</v>
      </c>
      <c r="L17" s="66" t="s">
        <v>15</v>
      </c>
      <c r="M17" s="5">
        <v>4951378</v>
      </c>
      <c r="N17" s="5">
        <v>3440573</v>
      </c>
      <c r="O17" s="66"/>
      <c r="P17" s="66"/>
      <c r="Q17" s="66"/>
      <c r="R17" s="66"/>
      <c r="S17" s="66"/>
      <c r="T17" s="66"/>
    </row>
    <row r="18" spans="1:20" x14ac:dyDescent="0.2">
      <c r="A18" s="66" t="s">
        <v>42</v>
      </c>
      <c r="B18" s="66" t="s">
        <v>43</v>
      </c>
      <c r="C18" s="66" t="s">
        <v>35</v>
      </c>
      <c r="D18" s="66" t="s">
        <v>44</v>
      </c>
      <c r="E18" s="66" t="s">
        <v>37</v>
      </c>
      <c r="F18" s="66" t="s">
        <v>38</v>
      </c>
      <c r="G18" s="66" t="s">
        <v>47</v>
      </c>
      <c r="H18" s="66" t="s">
        <v>48</v>
      </c>
      <c r="I18" s="66" t="s">
        <v>11</v>
      </c>
      <c r="J18" s="66" t="s">
        <v>76</v>
      </c>
      <c r="K18" s="66" t="s">
        <v>122</v>
      </c>
      <c r="L18" s="66" t="s">
        <v>14</v>
      </c>
      <c r="M18" s="5">
        <v>175000</v>
      </c>
      <c r="N18" s="5">
        <v>157660</v>
      </c>
      <c r="O18" s="66"/>
      <c r="P18" s="66"/>
      <c r="Q18" s="66"/>
      <c r="R18" s="66"/>
      <c r="S18" s="66"/>
      <c r="T18" s="66"/>
    </row>
    <row r="19" spans="1:20" x14ac:dyDescent="0.2">
      <c r="A19" s="66" t="s">
        <v>42</v>
      </c>
      <c r="B19" s="66" t="s">
        <v>43</v>
      </c>
      <c r="C19" s="66" t="s">
        <v>35</v>
      </c>
      <c r="D19" s="66" t="s">
        <v>51</v>
      </c>
      <c r="E19" s="66" t="s">
        <v>37</v>
      </c>
      <c r="F19" s="66" t="s">
        <v>38</v>
      </c>
      <c r="G19" s="66" t="s">
        <v>133</v>
      </c>
      <c r="H19" s="66" t="s">
        <v>134</v>
      </c>
      <c r="I19" s="66" t="s">
        <v>11</v>
      </c>
      <c r="J19" s="66" t="s">
        <v>20</v>
      </c>
      <c r="K19" s="66" t="s">
        <v>41</v>
      </c>
      <c r="L19" s="66" t="s">
        <v>13</v>
      </c>
      <c r="M19" s="5">
        <v>0</v>
      </c>
      <c r="N19" s="66"/>
      <c r="O19" s="66"/>
      <c r="P19" s="66"/>
      <c r="Q19" s="66"/>
      <c r="R19" s="66"/>
      <c r="S19" s="66"/>
      <c r="T19" s="66"/>
    </row>
    <row r="20" spans="1:20" x14ac:dyDescent="0.2">
      <c r="A20" s="66" t="s">
        <v>42</v>
      </c>
      <c r="B20" s="66" t="s">
        <v>43</v>
      </c>
      <c r="C20" s="66" t="s">
        <v>35</v>
      </c>
      <c r="D20" s="66" t="s">
        <v>51</v>
      </c>
      <c r="E20" s="66" t="s">
        <v>37</v>
      </c>
      <c r="F20" s="66" t="s">
        <v>38</v>
      </c>
      <c r="G20" s="66" t="s">
        <v>133</v>
      </c>
      <c r="H20" s="66" t="s">
        <v>134</v>
      </c>
      <c r="I20" s="66" t="s">
        <v>11</v>
      </c>
      <c r="J20" s="66" t="s">
        <v>135</v>
      </c>
      <c r="K20" s="66" t="s">
        <v>136</v>
      </c>
      <c r="L20" s="66" t="s">
        <v>13</v>
      </c>
      <c r="M20" s="5">
        <v>0</v>
      </c>
      <c r="N20" s="66"/>
      <c r="O20" s="66"/>
      <c r="P20" s="66"/>
      <c r="Q20" s="66"/>
      <c r="R20" s="66"/>
      <c r="S20" s="66"/>
      <c r="T20" s="66"/>
    </row>
    <row r="21" spans="1:20" x14ac:dyDescent="0.2">
      <c r="A21" s="66" t="s">
        <v>42</v>
      </c>
      <c r="B21" s="66" t="s">
        <v>43</v>
      </c>
      <c r="C21" s="66" t="s">
        <v>35</v>
      </c>
      <c r="D21" s="66" t="s">
        <v>51</v>
      </c>
      <c r="E21" s="66" t="s">
        <v>37</v>
      </c>
      <c r="F21" s="66" t="s">
        <v>38</v>
      </c>
      <c r="G21" s="66" t="s">
        <v>137</v>
      </c>
      <c r="H21" s="66" t="s">
        <v>123</v>
      </c>
      <c r="I21" s="66" t="s">
        <v>11</v>
      </c>
      <c r="J21" s="66" t="s">
        <v>20</v>
      </c>
      <c r="K21" s="66" t="s">
        <v>41</v>
      </c>
      <c r="L21" s="66" t="s">
        <v>13</v>
      </c>
      <c r="M21" s="5">
        <v>0</v>
      </c>
      <c r="N21" s="66"/>
      <c r="O21" s="66"/>
      <c r="P21" s="66"/>
      <c r="Q21" s="66"/>
      <c r="R21" s="66"/>
      <c r="S21" s="66"/>
      <c r="T21" s="66"/>
    </row>
    <row r="22" spans="1:20" x14ac:dyDescent="0.2">
      <c r="A22" s="66" t="s">
        <v>42</v>
      </c>
      <c r="B22" s="66" t="s">
        <v>43</v>
      </c>
      <c r="C22" s="66" t="s">
        <v>35</v>
      </c>
      <c r="D22" s="66" t="s">
        <v>51</v>
      </c>
      <c r="E22" s="66" t="s">
        <v>37</v>
      </c>
      <c r="F22" s="66" t="s">
        <v>38</v>
      </c>
      <c r="G22" s="66" t="s">
        <v>137</v>
      </c>
      <c r="H22" s="66" t="s">
        <v>123</v>
      </c>
      <c r="I22" s="66" t="s">
        <v>11</v>
      </c>
      <c r="J22" s="66" t="s">
        <v>76</v>
      </c>
      <c r="K22" s="66" t="s">
        <v>122</v>
      </c>
      <c r="L22" s="66" t="s">
        <v>13</v>
      </c>
      <c r="M22" s="5">
        <v>8000000</v>
      </c>
      <c r="N22" s="66"/>
      <c r="O22" s="66"/>
      <c r="P22" s="66"/>
      <c r="Q22" s="66"/>
      <c r="R22" s="66"/>
      <c r="S22" s="66"/>
      <c r="T22" s="66"/>
    </row>
    <row r="23" spans="1:20" x14ac:dyDescent="0.2">
      <c r="A23" s="66" t="s">
        <v>42</v>
      </c>
      <c r="B23" s="66" t="s">
        <v>43</v>
      </c>
      <c r="C23" s="66" t="s">
        <v>35</v>
      </c>
      <c r="D23" s="66" t="s">
        <v>51</v>
      </c>
      <c r="E23" s="66" t="s">
        <v>37</v>
      </c>
      <c r="F23" s="66" t="s">
        <v>38</v>
      </c>
      <c r="G23" s="66" t="s">
        <v>138</v>
      </c>
      <c r="H23" s="66" t="s">
        <v>55</v>
      </c>
      <c r="I23" s="66" t="s">
        <v>11</v>
      </c>
      <c r="J23" s="66" t="s">
        <v>20</v>
      </c>
      <c r="K23" s="66" t="s">
        <v>41</v>
      </c>
      <c r="L23" s="66" t="s">
        <v>15</v>
      </c>
      <c r="M23" s="5">
        <v>0</v>
      </c>
      <c r="N23" s="66"/>
      <c r="O23" s="66"/>
      <c r="P23" s="66"/>
      <c r="Q23" s="66"/>
      <c r="R23" s="66"/>
      <c r="S23" s="66"/>
      <c r="T23" s="66"/>
    </row>
    <row r="24" spans="1:20" x14ac:dyDescent="0.2">
      <c r="A24" s="66" t="s">
        <v>42</v>
      </c>
      <c r="B24" s="66" t="s">
        <v>43</v>
      </c>
      <c r="C24" s="66" t="s">
        <v>35</v>
      </c>
      <c r="D24" s="66" t="s">
        <v>51</v>
      </c>
      <c r="E24" s="66" t="s">
        <v>37</v>
      </c>
      <c r="F24" s="66" t="s">
        <v>38</v>
      </c>
      <c r="G24" s="66" t="s">
        <v>54</v>
      </c>
      <c r="H24" s="66" t="s">
        <v>117</v>
      </c>
      <c r="I24" s="66" t="s">
        <v>11</v>
      </c>
      <c r="J24" s="66" t="s">
        <v>20</v>
      </c>
      <c r="K24" s="66" t="s">
        <v>41</v>
      </c>
      <c r="L24" s="66" t="s">
        <v>11</v>
      </c>
      <c r="M24" s="5">
        <v>347646754.06999999</v>
      </c>
      <c r="N24" s="5">
        <v>347646754.06999999</v>
      </c>
      <c r="O24" s="5">
        <v>347636979.55000001</v>
      </c>
      <c r="P24" s="5">
        <v>345926406.25999999</v>
      </c>
      <c r="Q24" s="66"/>
      <c r="R24" s="66"/>
      <c r="S24" s="66"/>
      <c r="T24" s="66"/>
    </row>
    <row r="25" spans="1:20" x14ac:dyDescent="0.2">
      <c r="A25" s="66" t="s">
        <v>42</v>
      </c>
      <c r="B25" s="66" t="s">
        <v>43</v>
      </c>
      <c r="C25" s="66" t="s">
        <v>35</v>
      </c>
      <c r="D25" s="66" t="s">
        <v>51</v>
      </c>
      <c r="E25" s="66" t="s">
        <v>37</v>
      </c>
      <c r="F25" s="66" t="s">
        <v>38</v>
      </c>
      <c r="G25" s="66" t="s">
        <v>124</v>
      </c>
      <c r="H25" s="66" t="s">
        <v>118</v>
      </c>
      <c r="I25" s="66" t="s">
        <v>11</v>
      </c>
      <c r="J25" s="66" t="s">
        <v>20</v>
      </c>
      <c r="K25" s="66" t="s">
        <v>41</v>
      </c>
      <c r="L25" s="66" t="s">
        <v>14</v>
      </c>
      <c r="M25" s="5">
        <v>2483742</v>
      </c>
      <c r="N25" s="5">
        <v>2098411.91</v>
      </c>
      <c r="O25" s="5">
        <v>2098411.91</v>
      </c>
      <c r="P25" s="5">
        <v>2098411.91</v>
      </c>
      <c r="Q25" s="66"/>
      <c r="R25" s="66"/>
      <c r="S25" s="66"/>
      <c r="T25" s="66"/>
    </row>
    <row r="26" spans="1:20" x14ac:dyDescent="0.2">
      <c r="A26" s="66" t="s">
        <v>42</v>
      </c>
      <c r="B26" s="66" t="s">
        <v>43</v>
      </c>
      <c r="C26" s="66" t="s">
        <v>35</v>
      </c>
      <c r="D26" s="66" t="s">
        <v>36</v>
      </c>
      <c r="E26" s="66" t="s">
        <v>37</v>
      </c>
      <c r="F26" s="66" t="s">
        <v>38</v>
      </c>
      <c r="G26" s="66" t="s">
        <v>39</v>
      </c>
      <c r="H26" s="66" t="s">
        <v>40</v>
      </c>
      <c r="I26" s="66" t="s">
        <v>11</v>
      </c>
      <c r="J26" s="66" t="s">
        <v>20</v>
      </c>
      <c r="K26" s="66" t="s">
        <v>41</v>
      </c>
      <c r="L26" s="66" t="s">
        <v>14</v>
      </c>
      <c r="M26" s="5">
        <v>1531018</v>
      </c>
      <c r="N26" s="5">
        <v>1531018</v>
      </c>
      <c r="O26" s="5">
        <v>909562.72</v>
      </c>
      <c r="P26" s="5">
        <v>902343.01</v>
      </c>
      <c r="Q26" s="66"/>
      <c r="R26" s="66"/>
      <c r="S26" s="66"/>
      <c r="T26" s="66"/>
    </row>
    <row r="27" spans="1:20" x14ac:dyDescent="0.2">
      <c r="A27" s="66" t="s">
        <v>42</v>
      </c>
      <c r="B27" s="66" t="s">
        <v>43</v>
      </c>
      <c r="C27" s="66" t="s">
        <v>35</v>
      </c>
      <c r="D27" s="66" t="s">
        <v>56</v>
      </c>
      <c r="E27" s="66" t="s">
        <v>37</v>
      </c>
      <c r="F27" s="66" t="s">
        <v>38</v>
      </c>
      <c r="G27" s="66" t="s">
        <v>57</v>
      </c>
      <c r="H27" s="66" t="s">
        <v>58</v>
      </c>
      <c r="I27" s="66" t="s">
        <v>11</v>
      </c>
      <c r="J27" s="66" t="s">
        <v>20</v>
      </c>
      <c r="K27" s="66" t="s">
        <v>41</v>
      </c>
      <c r="L27" s="66" t="s">
        <v>14</v>
      </c>
      <c r="M27" s="5">
        <v>517525</v>
      </c>
      <c r="N27" s="5">
        <v>483076.89</v>
      </c>
      <c r="O27" s="5">
        <v>401032.17</v>
      </c>
      <c r="P27" s="5">
        <v>361180.36</v>
      </c>
      <c r="Q27" s="66"/>
      <c r="R27" s="66"/>
      <c r="S27" s="66"/>
      <c r="T27" s="66"/>
    </row>
    <row r="28" spans="1:20" x14ac:dyDescent="0.2">
      <c r="A28" s="66" t="s">
        <v>42</v>
      </c>
      <c r="B28" s="66" t="s">
        <v>43</v>
      </c>
      <c r="C28" s="66" t="s">
        <v>35</v>
      </c>
      <c r="D28" s="66" t="s">
        <v>59</v>
      </c>
      <c r="E28" s="66" t="s">
        <v>37</v>
      </c>
      <c r="F28" s="66" t="s">
        <v>38</v>
      </c>
      <c r="G28" s="66" t="s">
        <v>60</v>
      </c>
      <c r="H28" s="66" t="s">
        <v>61</v>
      </c>
      <c r="I28" s="66" t="s">
        <v>62</v>
      </c>
      <c r="J28" s="66" t="s">
        <v>20</v>
      </c>
      <c r="K28" s="66" t="s">
        <v>41</v>
      </c>
      <c r="L28" s="66" t="s">
        <v>15</v>
      </c>
      <c r="M28" s="5">
        <v>15000</v>
      </c>
      <c r="N28" s="5">
        <v>10589</v>
      </c>
      <c r="O28" s="66"/>
      <c r="P28" s="66"/>
      <c r="Q28" s="66"/>
      <c r="R28" s="66"/>
      <c r="S28" s="66"/>
      <c r="T28" s="66"/>
    </row>
    <row r="29" spans="1:20" x14ac:dyDescent="0.2">
      <c r="A29" s="66" t="s">
        <v>42</v>
      </c>
      <c r="B29" s="66" t="s">
        <v>43</v>
      </c>
      <c r="C29" s="66" t="s">
        <v>35</v>
      </c>
      <c r="D29" s="66" t="s">
        <v>59</v>
      </c>
      <c r="E29" s="66" t="s">
        <v>37</v>
      </c>
      <c r="F29" s="66" t="s">
        <v>38</v>
      </c>
      <c r="G29" s="66" t="s">
        <v>60</v>
      </c>
      <c r="H29" s="66" t="s">
        <v>61</v>
      </c>
      <c r="I29" s="66" t="s">
        <v>62</v>
      </c>
      <c r="J29" s="66" t="s">
        <v>20</v>
      </c>
      <c r="K29" s="66" t="s">
        <v>41</v>
      </c>
      <c r="L29" s="66" t="s">
        <v>14</v>
      </c>
      <c r="M29" s="5">
        <v>12317400</v>
      </c>
      <c r="N29" s="5">
        <v>11896041.1</v>
      </c>
      <c r="O29" s="5">
        <v>10126664.460000001</v>
      </c>
      <c r="P29" s="5">
        <v>10126664.460000001</v>
      </c>
      <c r="Q29" s="66"/>
      <c r="R29" s="66"/>
      <c r="S29" s="66"/>
      <c r="T29" s="66"/>
    </row>
    <row r="30" spans="1:20" x14ac:dyDescent="0.2">
      <c r="A30" s="66" t="s">
        <v>42</v>
      </c>
      <c r="B30" s="66" t="s">
        <v>43</v>
      </c>
      <c r="C30" s="66" t="s">
        <v>35</v>
      </c>
      <c r="D30" s="66" t="s">
        <v>63</v>
      </c>
      <c r="E30" s="66" t="s">
        <v>37</v>
      </c>
      <c r="F30" s="66" t="s">
        <v>38</v>
      </c>
      <c r="G30" s="66" t="s">
        <v>64</v>
      </c>
      <c r="H30" s="66" t="s">
        <v>65</v>
      </c>
      <c r="I30" s="66" t="s">
        <v>11</v>
      </c>
      <c r="J30" s="66" t="s">
        <v>20</v>
      </c>
      <c r="K30" s="66" t="s">
        <v>41</v>
      </c>
      <c r="L30" s="66" t="s">
        <v>14</v>
      </c>
      <c r="M30" s="5">
        <v>93546.93</v>
      </c>
      <c r="N30" s="5">
        <v>93546.93</v>
      </c>
      <c r="O30" s="5">
        <v>93546.93</v>
      </c>
      <c r="P30" s="5">
        <v>93546.93</v>
      </c>
      <c r="Q30" s="66"/>
      <c r="R30" s="66"/>
      <c r="S30" s="66"/>
      <c r="T30" s="66"/>
    </row>
    <row r="31" spans="1:20" x14ac:dyDescent="0.2">
      <c r="A31" s="66" t="s">
        <v>42</v>
      </c>
      <c r="B31" s="66" t="s">
        <v>43</v>
      </c>
      <c r="C31" s="66" t="s">
        <v>35</v>
      </c>
      <c r="D31" s="66" t="s">
        <v>63</v>
      </c>
      <c r="E31" s="66" t="s">
        <v>37</v>
      </c>
      <c r="F31" s="66" t="s">
        <v>38</v>
      </c>
      <c r="G31" s="66" t="s">
        <v>66</v>
      </c>
      <c r="H31" s="66" t="s">
        <v>67</v>
      </c>
      <c r="I31" s="66" t="s">
        <v>11</v>
      </c>
      <c r="J31" s="66" t="s">
        <v>20</v>
      </c>
      <c r="K31" s="66" t="s">
        <v>41</v>
      </c>
      <c r="L31" s="66" t="s">
        <v>14</v>
      </c>
      <c r="M31" s="5">
        <v>2170448</v>
      </c>
      <c r="N31" s="5">
        <v>2170448</v>
      </c>
      <c r="O31" s="5">
        <v>1968384</v>
      </c>
      <c r="P31" s="5">
        <v>1968384</v>
      </c>
      <c r="Q31" s="66"/>
      <c r="R31" s="66"/>
      <c r="S31" s="66"/>
      <c r="T31" s="66"/>
    </row>
    <row r="32" spans="1:20" x14ac:dyDescent="0.2">
      <c r="A32" s="66" t="s">
        <v>42</v>
      </c>
      <c r="B32" s="66" t="s">
        <v>43</v>
      </c>
      <c r="C32" s="66" t="s">
        <v>35</v>
      </c>
      <c r="D32" s="66" t="s">
        <v>63</v>
      </c>
      <c r="E32" s="66" t="s">
        <v>37</v>
      </c>
      <c r="F32" s="66" t="s">
        <v>38</v>
      </c>
      <c r="G32" s="66" t="s">
        <v>68</v>
      </c>
      <c r="H32" s="66" t="s">
        <v>69</v>
      </c>
      <c r="I32" s="66" t="s">
        <v>11</v>
      </c>
      <c r="J32" s="66" t="s">
        <v>20</v>
      </c>
      <c r="K32" s="66" t="s">
        <v>41</v>
      </c>
      <c r="L32" s="66" t="s">
        <v>14</v>
      </c>
      <c r="M32" s="5">
        <v>1236000</v>
      </c>
      <c r="N32" s="5">
        <v>1236000</v>
      </c>
      <c r="O32" s="5">
        <v>943072.47</v>
      </c>
      <c r="P32" s="5">
        <v>943072.47</v>
      </c>
      <c r="Q32" s="66"/>
      <c r="R32" s="66"/>
      <c r="S32" s="66"/>
      <c r="T32" s="66"/>
    </row>
    <row r="33" spans="1:20" x14ac:dyDescent="0.2">
      <c r="A33" s="66" t="s">
        <v>42</v>
      </c>
      <c r="B33" s="66" t="s">
        <v>43</v>
      </c>
      <c r="C33" s="66" t="s">
        <v>35</v>
      </c>
      <c r="D33" s="66" t="s">
        <v>63</v>
      </c>
      <c r="E33" s="66" t="s">
        <v>37</v>
      </c>
      <c r="F33" s="66" t="s">
        <v>38</v>
      </c>
      <c r="G33" s="66" t="s">
        <v>70</v>
      </c>
      <c r="H33" s="66" t="s">
        <v>71</v>
      </c>
      <c r="I33" s="66" t="s">
        <v>11</v>
      </c>
      <c r="J33" s="66" t="s">
        <v>20</v>
      </c>
      <c r="K33" s="66" t="s">
        <v>41</v>
      </c>
      <c r="L33" s="66" t="s">
        <v>14</v>
      </c>
      <c r="M33" s="5">
        <v>19565248</v>
      </c>
      <c r="N33" s="5">
        <v>19565248</v>
      </c>
      <c r="O33" s="5">
        <v>17777360.02</v>
      </c>
      <c r="P33" s="5">
        <v>17777360.02</v>
      </c>
      <c r="Q33" s="66"/>
      <c r="R33" s="66"/>
      <c r="S33" s="66"/>
      <c r="T33" s="66"/>
    </row>
    <row r="34" spans="1:20" x14ac:dyDescent="0.2">
      <c r="A34" s="66" t="s">
        <v>42</v>
      </c>
      <c r="B34" s="66" t="s">
        <v>43</v>
      </c>
      <c r="C34" s="66" t="s">
        <v>35</v>
      </c>
      <c r="D34" s="66" t="s">
        <v>139</v>
      </c>
      <c r="E34" s="66" t="s">
        <v>37</v>
      </c>
      <c r="F34" s="66" t="s">
        <v>38</v>
      </c>
      <c r="G34" s="66" t="s">
        <v>52</v>
      </c>
      <c r="H34" s="66" t="s">
        <v>53</v>
      </c>
      <c r="I34" s="66" t="s">
        <v>11</v>
      </c>
      <c r="J34" s="66" t="s">
        <v>20</v>
      </c>
      <c r="K34" s="66" t="s">
        <v>41</v>
      </c>
      <c r="L34" s="66" t="s">
        <v>11</v>
      </c>
      <c r="M34" s="5">
        <v>61320012.869999997</v>
      </c>
      <c r="N34" s="5">
        <v>61320012.869999997</v>
      </c>
      <c r="O34" s="5">
        <v>61320012.869999997</v>
      </c>
      <c r="P34" s="5">
        <v>61320012.869999997</v>
      </c>
      <c r="Q34" s="66"/>
      <c r="R34" s="66"/>
      <c r="S34" s="66"/>
      <c r="T34" s="66"/>
    </row>
    <row r="35" spans="1:20" x14ac:dyDescent="0.2">
      <c r="A35" s="66" t="s">
        <v>42</v>
      </c>
      <c r="B35" s="66" t="s">
        <v>43</v>
      </c>
      <c r="C35" s="66" t="s">
        <v>72</v>
      </c>
      <c r="D35" s="66" t="s">
        <v>73</v>
      </c>
      <c r="E35" s="66" t="s">
        <v>74</v>
      </c>
      <c r="F35" s="66" t="s">
        <v>75</v>
      </c>
      <c r="G35" s="66" t="s">
        <v>76</v>
      </c>
      <c r="H35" s="66" t="s">
        <v>119</v>
      </c>
      <c r="I35" s="66" t="s">
        <v>62</v>
      </c>
      <c r="J35" s="66" t="s">
        <v>20</v>
      </c>
      <c r="K35" s="66" t="s">
        <v>41</v>
      </c>
      <c r="L35" s="66" t="s">
        <v>11</v>
      </c>
      <c r="M35" s="5">
        <v>11436623.43</v>
      </c>
      <c r="N35" s="5">
        <v>11436623.43</v>
      </c>
      <c r="O35" s="5">
        <v>11436623.43</v>
      </c>
      <c r="P35" s="5">
        <v>10948675.4</v>
      </c>
      <c r="Q35" s="66"/>
      <c r="R35" s="66"/>
      <c r="S35" s="66"/>
      <c r="T35" s="66"/>
    </row>
    <row r="36" spans="1:20" x14ac:dyDescent="0.2">
      <c r="A36" s="66" t="s">
        <v>42</v>
      </c>
      <c r="B36" s="66" t="s">
        <v>43</v>
      </c>
      <c r="C36" s="66" t="s">
        <v>72</v>
      </c>
      <c r="D36" s="66" t="s">
        <v>73</v>
      </c>
      <c r="E36" s="66" t="s">
        <v>74</v>
      </c>
      <c r="F36" s="66" t="s">
        <v>75</v>
      </c>
      <c r="G36" s="66" t="s">
        <v>76</v>
      </c>
      <c r="H36" s="66" t="s">
        <v>119</v>
      </c>
      <c r="I36" s="66" t="s">
        <v>62</v>
      </c>
      <c r="J36" s="66" t="s">
        <v>18</v>
      </c>
      <c r="K36" s="66" t="s">
        <v>77</v>
      </c>
      <c r="L36" s="66" t="s">
        <v>11</v>
      </c>
      <c r="M36" s="5">
        <v>27600000</v>
      </c>
      <c r="N36" s="5">
        <v>27600000</v>
      </c>
      <c r="O36" s="5">
        <v>27600000</v>
      </c>
      <c r="P36" s="5">
        <v>27600000</v>
      </c>
      <c r="Q36" s="66"/>
      <c r="R36" s="66"/>
      <c r="S36" s="66"/>
      <c r="T36" s="66"/>
    </row>
    <row r="37" spans="1:20" x14ac:dyDescent="0.2">
      <c r="A37" s="66" t="s">
        <v>42</v>
      </c>
      <c r="B37" s="66" t="s">
        <v>43</v>
      </c>
      <c r="C37" s="66" t="s">
        <v>72</v>
      </c>
      <c r="D37" s="66" t="s">
        <v>73</v>
      </c>
      <c r="E37" s="66" t="s">
        <v>74</v>
      </c>
      <c r="F37" s="66" t="s">
        <v>75</v>
      </c>
      <c r="G37" s="66" t="s">
        <v>76</v>
      </c>
      <c r="H37" s="66" t="s">
        <v>119</v>
      </c>
      <c r="I37" s="66" t="s">
        <v>62</v>
      </c>
      <c r="J37" s="66" t="s">
        <v>19</v>
      </c>
      <c r="K37" s="66" t="s">
        <v>78</v>
      </c>
      <c r="L37" s="66" t="s">
        <v>11</v>
      </c>
      <c r="M37" s="5">
        <v>55200000</v>
      </c>
      <c r="N37" s="5">
        <v>55200000</v>
      </c>
      <c r="O37" s="5">
        <v>55200000</v>
      </c>
      <c r="P37" s="5">
        <v>55200000</v>
      </c>
      <c r="Q37" s="66"/>
      <c r="R37" s="66"/>
      <c r="S37" s="66"/>
      <c r="T37" s="66"/>
    </row>
    <row r="39" spans="1:20" x14ac:dyDescent="0.2">
      <c r="M39" s="56">
        <f>SUM(M10:M38)</f>
        <v>615454217.29999995</v>
      </c>
      <c r="N39" s="56">
        <f t="shared" ref="N39:P39" si="0">SUM(N10:N38)</f>
        <v>595446302.31000006</v>
      </c>
      <c r="O39" s="56">
        <f t="shared" si="0"/>
        <v>575081317.92000008</v>
      </c>
      <c r="P39" s="56">
        <f t="shared" si="0"/>
        <v>570650755.44000006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Normal="100" workbookViewId="0">
      <selection activeCell="A33" sqref="A33:XFD33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8" t="s">
        <v>120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x14ac:dyDescent="0.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0.5" customHeight="1" x14ac:dyDescent="0.2">
      <c r="A3" s="68" t="s">
        <v>121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10.5" customHeight="1" x14ac:dyDescent="0.2">
      <c r="A4" s="101" t="s">
        <v>149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68"/>
      <c r="R4" s="68"/>
    </row>
    <row r="5" spans="1:18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x14ac:dyDescent="0.2">
      <c r="A6" s="68" t="s">
        <v>23</v>
      </c>
      <c r="B6" s="68"/>
      <c r="C6" s="68" t="s">
        <v>24</v>
      </c>
      <c r="D6" s="68" t="s">
        <v>25</v>
      </c>
      <c r="E6" s="68" t="s">
        <v>26</v>
      </c>
      <c r="F6" s="68"/>
      <c r="G6" s="68" t="s">
        <v>27</v>
      </c>
      <c r="H6" s="68"/>
      <c r="I6" s="68" t="s">
        <v>28</v>
      </c>
      <c r="J6" s="68" t="s">
        <v>29</v>
      </c>
      <c r="K6" s="68" t="s">
        <v>30</v>
      </c>
      <c r="L6" s="68" t="s">
        <v>31</v>
      </c>
      <c r="M6" s="68" t="s">
        <v>32</v>
      </c>
      <c r="N6" s="68" t="s">
        <v>125</v>
      </c>
      <c r="O6" s="68" t="s">
        <v>126</v>
      </c>
      <c r="P6" s="68" t="s">
        <v>127</v>
      </c>
      <c r="Q6" s="68"/>
      <c r="R6" s="68"/>
    </row>
    <row r="7" spans="1:18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 t="s">
        <v>33</v>
      </c>
      <c r="N7" s="68" t="s">
        <v>128</v>
      </c>
      <c r="O7" s="68" t="s">
        <v>129</v>
      </c>
      <c r="P7" s="68" t="s">
        <v>130</v>
      </c>
      <c r="Q7" s="68"/>
      <c r="R7" s="68"/>
    </row>
    <row r="8" spans="1:18" x14ac:dyDescent="0.2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 t="s">
        <v>34</v>
      </c>
      <c r="M8" s="68" t="s">
        <v>143</v>
      </c>
      <c r="N8" s="68" t="s">
        <v>143</v>
      </c>
      <c r="O8" s="68" t="s">
        <v>143</v>
      </c>
      <c r="P8" s="68" t="s">
        <v>143</v>
      </c>
      <c r="Q8" s="68"/>
      <c r="R8" s="68"/>
    </row>
    <row r="9" spans="1:18" x14ac:dyDescent="0.2">
      <c r="A9" s="68" t="s">
        <v>140</v>
      </c>
      <c r="B9" s="68" t="s">
        <v>141</v>
      </c>
      <c r="C9" s="68" t="s">
        <v>35</v>
      </c>
      <c r="D9" s="68" t="s">
        <v>44</v>
      </c>
      <c r="E9" s="68" t="s">
        <v>37</v>
      </c>
      <c r="F9" s="68" t="s">
        <v>38</v>
      </c>
      <c r="G9" s="68" t="s">
        <v>47</v>
      </c>
      <c r="H9" s="68" t="s">
        <v>48</v>
      </c>
      <c r="I9" s="68" t="s">
        <v>11</v>
      </c>
      <c r="J9" s="68" t="s">
        <v>20</v>
      </c>
      <c r="K9" s="68" t="s">
        <v>41</v>
      </c>
      <c r="L9" s="68" t="s">
        <v>15</v>
      </c>
      <c r="M9" s="5">
        <v>0</v>
      </c>
      <c r="N9" s="68"/>
      <c r="O9" s="68"/>
      <c r="P9" s="68"/>
      <c r="Q9" s="68"/>
      <c r="R9" s="68"/>
    </row>
    <row r="10" spans="1:18" x14ac:dyDescent="0.2">
      <c r="A10" s="68" t="s">
        <v>140</v>
      </c>
      <c r="B10" s="68" t="s">
        <v>141</v>
      </c>
      <c r="C10" s="68" t="s">
        <v>35</v>
      </c>
      <c r="D10" s="68" t="s">
        <v>44</v>
      </c>
      <c r="E10" s="68" t="s">
        <v>37</v>
      </c>
      <c r="F10" s="68" t="s">
        <v>38</v>
      </c>
      <c r="G10" s="68" t="s">
        <v>47</v>
      </c>
      <c r="H10" s="68" t="s">
        <v>48</v>
      </c>
      <c r="I10" s="68" t="s">
        <v>11</v>
      </c>
      <c r="J10" s="68" t="s">
        <v>76</v>
      </c>
      <c r="K10" s="68" t="s">
        <v>122</v>
      </c>
      <c r="L10" s="68" t="s">
        <v>15</v>
      </c>
      <c r="M10" s="5">
        <v>0</v>
      </c>
      <c r="N10" s="68"/>
      <c r="O10" s="68"/>
      <c r="P10" s="68"/>
      <c r="Q10" s="68"/>
      <c r="R10" s="68"/>
    </row>
    <row r="11" spans="1:18" x14ac:dyDescent="0.2">
      <c r="A11" s="68" t="s">
        <v>42</v>
      </c>
      <c r="B11" s="68" t="s">
        <v>43</v>
      </c>
      <c r="C11" s="68" t="s">
        <v>35</v>
      </c>
      <c r="D11" s="68" t="s">
        <v>44</v>
      </c>
      <c r="E11" s="68" t="s">
        <v>37</v>
      </c>
      <c r="F11" s="68" t="s">
        <v>38</v>
      </c>
      <c r="G11" s="68" t="s">
        <v>45</v>
      </c>
      <c r="H11" s="68" t="s">
        <v>46</v>
      </c>
      <c r="I11" s="68" t="s">
        <v>11</v>
      </c>
      <c r="J11" s="68" t="s">
        <v>20</v>
      </c>
      <c r="K11" s="68" t="s">
        <v>41</v>
      </c>
      <c r="L11" s="68" t="s">
        <v>14</v>
      </c>
      <c r="M11" s="5">
        <v>15000</v>
      </c>
      <c r="N11" s="5">
        <v>1302.73</v>
      </c>
      <c r="O11" s="5">
        <v>1302.73</v>
      </c>
      <c r="P11" s="5">
        <v>1302.73</v>
      </c>
      <c r="Q11" s="68"/>
      <c r="R11" s="68"/>
    </row>
    <row r="12" spans="1:18" x14ac:dyDescent="0.2">
      <c r="A12" s="68" t="s">
        <v>42</v>
      </c>
      <c r="B12" s="68" t="s">
        <v>43</v>
      </c>
      <c r="C12" s="68" t="s">
        <v>35</v>
      </c>
      <c r="D12" s="68" t="s">
        <v>44</v>
      </c>
      <c r="E12" s="68" t="s">
        <v>37</v>
      </c>
      <c r="F12" s="68" t="s">
        <v>38</v>
      </c>
      <c r="G12" s="68" t="s">
        <v>47</v>
      </c>
      <c r="H12" s="68" t="s">
        <v>48</v>
      </c>
      <c r="I12" s="68" t="s">
        <v>11</v>
      </c>
      <c r="J12" s="68" t="s">
        <v>20</v>
      </c>
      <c r="K12" s="68" t="s">
        <v>41</v>
      </c>
      <c r="L12" s="68" t="s">
        <v>15</v>
      </c>
      <c r="M12" s="5">
        <v>4636416</v>
      </c>
      <c r="N12" s="5">
        <v>4246926.9400000004</v>
      </c>
      <c r="O12" s="5">
        <v>2951369.49</v>
      </c>
      <c r="P12" s="5">
        <v>2951369.49</v>
      </c>
      <c r="Q12" s="68"/>
      <c r="R12" s="68"/>
    </row>
    <row r="13" spans="1:18" x14ac:dyDescent="0.2">
      <c r="A13" s="68" t="s">
        <v>42</v>
      </c>
      <c r="B13" s="68" t="s">
        <v>43</v>
      </c>
      <c r="C13" s="68" t="s">
        <v>35</v>
      </c>
      <c r="D13" s="68" t="s">
        <v>44</v>
      </c>
      <c r="E13" s="68" t="s">
        <v>37</v>
      </c>
      <c r="F13" s="68" t="s">
        <v>38</v>
      </c>
      <c r="G13" s="68" t="s">
        <v>47</v>
      </c>
      <c r="H13" s="68" t="s">
        <v>48</v>
      </c>
      <c r="I13" s="68" t="s">
        <v>11</v>
      </c>
      <c r="J13" s="68" t="s">
        <v>20</v>
      </c>
      <c r="K13" s="68" t="s">
        <v>41</v>
      </c>
      <c r="L13" s="68" t="s">
        <v>14</v>
      </c>
      <c r="M13" s="5">
        <v>46313315</v>
      </c>
      <c r="N13" s="5">
        <v>40624647.670000002</v>
      </c>
      <c r="O13" s="5">
        <v>37748440.030000001</v>
      </c>
      <c r="P13" s="5">
        <v>37748440.030000001</v>
      </c>
      <c r="Q13" s="68"/>
      <c r="R13" s="68"/>
    </row>
    <row r="14" spans="1:18" x14ac:dyDescent="0.2">
      <c r="A14" s="68" t="s">
        <v>42</v>
      </c>
      <c r="B14" s="68" t="s">
        <v>43</v>
      </c>
      <c r="C14" s="68" t="s">
        <v>35</v>
      </c>
      <c r="D14" s="68" t="s">
        <v>44</v>
      </c>
      <c r="E14" s="68" t="s">
        <v>37</v>
      </c>
      <c r="F14" s="68" t="s">
        <v>38</v>
      </c>
      <c r="G14" s="68" t="s">
        <v>47</v>
      </c>
      <c r="H14" s="68" t="s">
        <v>48</v>
      </c>
      <c r="I14" s="68" t="s">
        <v>11</v>
      </c>
      <c r="J14" s="68" t="s">
        <v>21</v>
      </c>
      <c r="K14" s="68" t="s">
        <v>49</v>
      </c>
      <c r="L14" s="68" t="s">
        <v>14</v>
      </c>
      <c r="M14" s="5">
        <v>6790890</v>
      </c>
      <c r="N14" s="5">
        <v>6767832.46</v>
      </c>
      <c r="O14" s="5">
        <v>6457832.46</v>
      </c>
      <c r="P14" s="5">
        <v>6457832.46</v>
      </c>
      <c r="Q14" s="68"/>
      <c r="R14" s="68"/>
    </row>
    <row r="15" spans="1:18" x14ac:dyDescent="0.2">
      <c r="A15" s="68" t="s">
        <v>42</v>
      </c>
      <c r="B15" s="68" t="s">
        <v>43</v>
      </c>
      <c r="C15" s="68" t="s">
        <v>35</v>
      </c>
      <c r="D15" s="68" t="s">
        <v>44</v>
      </c>
      <c r="E15" s="68" t="s">
        <v>37</v>
      </c>
      <c r="F15" s="68" t="s">
        <v>38</v>
      </c>
      <c r="G15" s="68" t="s">
        <v>47</v>
      </c>
      <c r="H15" s="68" t="s">
        <v>48</v>
      </c>
      <c r="I15" s="68" t="s">
        <v>11</v>
      </c>
      <c r="J15" s="68" t="s">
        <v>22</v>
      </c>
      <c r="K15" s="68" t="s">
        <v>50</v>
      </c>
      <c r="L15" s="68" t="s">
        <v>14</v>
      </c>
      <c r="M15" s="5">
        <v>800000</v>
      </c>
      <c r="N15" s="68"/>
      <c r="O15" s="68"/>
      <c r="P15" s="68"/>
      <c r="Q15" s="68"/>
      <c r="R15" s="68"/>
    </row>
    <row r="16" spans="1:18" x14ac:dyDescent="0.2">
      <c r="A16" s="68" t="s">
        <v>42</v>
      </c>
      <c r="B16" s="68" t="s">
        <v>43</v>
      </c>
      <c r="C16" s="68" t="s">
        <v>35</v>
      </c>
      <c r="D16" s="68" t="s">
        <v>44</v>
      </c>
      <c r="E16" s="68" t="s">
        <v>37</v>
      </c>
      <c r="F16" s="68" t="s">
        <v>38</v>
      </c>
      <c r="G16" s="68" t="s">
        <v>47</v>
      </c>
      <c r="H16" s="68" t="s">
        <v>48</v>
      </c>
      <c r="I16" s="68" t="s">
        <v>11</v>
      </c>
      <c r="J16" s="68" t="s">
        <v>76</v>
      </c>
      <c r="K16" s="68" t="s">
        <v>122</v>
      </c>
      <c r="L16" s="68" t="s">
        <v>15</v>
      </c>
      <c r="M16" s="5">
        <v>4951378</v>
      </c>
      <c r="N16" s="5">
        <v>4509378</v>
      </c>
      <c r="O16" s="5">
        <v>1671840</v>
      </c>
      <c r="P16" s="5">
        <v>1671840</v>
      </c>
      <c r="Q16" s="68"/>
      <c r="R16" s="68"/>
    </row>
    <row r="17" spans="1:18" x14ac:dyDescent="0.2">
      <c r="A17" s="68" t="s">
        <v>42</v>
      </c>
      <c r="B17" s="68" t="s">
        <v>43</v>
      </c>
      <c r="C17" s="68" t="s">
        <v>35</v>
      </c>
      <c r="D17" s="68" t="s">
        <v>44</v>
      </c>
      <c r="E17" s="68" t="s">
        <v>37</v>
      </c>
      <c r="F17" s="68" t="s">
        <v>38</v>
      </c>
      <c r="G17" s="68" t="s">
        <v>47</v>
      </c>
      <c r="H17" s="68" t="s">
        <v>48</v>
      </c>
      <c r="I17" s="68" t="s">
        <v>11</v>
      </c>
      <c r="J17" s="68" t="s">
        <v>76</v>
      </c>
      <c r="K17" s="68" t="s">
        <v>122</v>
      </c>
      <c r="L17" s="68" t="s">
        <v>14</v>
      </c>
      <c r="M17" s="5">
        <v>175000</v>
      </c>
      <c r="N17" s="5">
        <v>157660</v>
      </c>
      <c r="O17" s="68"/>
      <c r="P17" s="68"/>
      <c r="Q17" s="68"/>
      <c r="R17" s="68"/>
    </row>
    <row r="18" spans="1:18" x14ac:dyDescent="0.2">
      <c r="A18" s="68" t="s">
        <v>42</v>
      </c>
      <c r="B18" s="68" t="s">
        <v>43</v>
      </c>
      <c r="C18" s="68" t="s">
        <v>35</v>
      </c>
      <c r="D18" s="68" t="s">
        <v>51</v>
      </c>
      <c r="E18" s="68" t="s">
        <v>37</v>
      </c>
      <c r="F18" s="68" t="s">
        <v>38</v>
      </c>
      <c r="G18" s="68" t="s">
        <v>133</v>
      </c>
      <c r="H18" s="68" t="s">
        <v>134</v>
      </c>
      <c r="I18" s="68" t="s">
        <v>11</v>
      </c>
      <c r="J18" s="68" t="s">
        <v>20</v>
      </c>
      <c r="K18" s="68" t="s">
        <v>41</v>
      </c>
      <c r="L18" s="68" t="s">
        <v>13</v>
      </c>
      <c r="M18" s="5">
        <v>0</v>
      </c>
      <c r="N18" s="68"/>
      <c r="O18" s="68"/>
      <c r="P18" s="68"/>
      <c r="Q18" s="68"/>
      <c r="R18" s="68"/>
    </row>
    <row r="19" spans="1:18" x14ac:dyDescent="0.2">
      <c r="A19" s="68" t="s">
        <v>42</v>
      </c>
      <c r="B19" s="68" t="s">
        <v>43</v>
      </c>
      <c r="C19" s="68" t="s">
        <v>35</v>
      </c>
      <c r="D19" s="68" t="s">
        <v>51</v>
      </c>
      <c r="E19" s="68" t="s">
        <v>37</v>
      </c>
      <c r="F19" s="68" t="s">
        <v>38</v>
      </c>
      <c r="G19" s="68" t="s">
        <v>133</v>
      </c>
      <c r="H19" s="68" t="s">
        <v>134</v>
      </c>
      <c r="I19" s="68" t="s">
        <v>11</v>
      </c>
      <c r="J19" s="68" t="s">
        <v>135</v>
      </c>
      <c r="K19" s="68" t="s">
        <v>136</v>
      </c>
      <c r="L19" s="68" t="s">
        <v>13</v>
      </c>
      <c r="M19" s="5">
        <v>0</v>
      </c>
      <c r="N19" s="68"/>
      <c r="O19" s="68"/>
      <c r="P19" s="68"/>
      <c r="Q19" s="68"/>
      <c r="R19" s="68"/>
    </row>
    <row r="20" spans="1:18" x14ac:dyDescent="0.2">
      <c r="A20" s="68" t="s">
        <v>42</v>
      </c>
      <c r="B20" s="68" t="s">
        <v>43</v>
      </c>
      <c r="C20" s="68" t="s">
        <v>35</v>
      </c>
      <c r="D20" s="68" t="s">
        <v>51</v>
      </c>
      <c r="E20" s="68" t="s">
        <v>37</v>
      </c>
      <c r="F20" s="68" t="s">
        <v>38</v>
      </c>
      <c r="G20" s="68" t="s">
        <v>137</v>
      </c>
      <c r="H20" s="68" t="s">
        <v>123</v>
      </c>
      <c r="I20" s="68" t="s">
        <v>11</v>
      </c>
      <c r="J20" s="68" t="s">
        <v>20</v>
      </c>
      <c r="K20" s="68" t="s">
        <v>41</v>
      </c>
      <c r="L20" s="68" t="s">
        <v>13</v>
      </c>
      <c r="M20" s="5">
        <v>0</v>
      </c>
      <c r="N20" s="68"/>
      <c r="O20" s="68"/>
      <c r="P20" s="68"/>
      <c r="Q20" s="68"/>
      <c r="R20" s="68"/>
    </row>
    <row r="21" spans="1:18" x14ac:dyDescent="0.2">
      <c r="A21" s="68" t="s">
        <v>42</v>
      </c>
      <c r="B21" s="68" t="s">
        <v>43</v>
      </c>
      <c r="C21" s="68" t="s">
        <v>35</v>
      </c>
      <c r="D21" s="68" t="s">
        <v>51</v>
      </c>
      <c r="E21" s="68" t="s">
        <v>37</v>
      </c>
      <c r="F21" s="68" t="s">
        <v>38</v>
      </c>
      <c r="G21" s="68" t="s">
        <v>137</v>
      </c>
      <c r="H21" s="68" t="s">
        <v>123</v>
      </c>
      <c r="I21" s="68" t="s">
        <v>11</v>
      </c>
      <c r="J21" s="68" t="s">
        <v>76</v>
      </c>
      <c r="K21" s="68" t="s">
        <v>122</v>
      </c>
      <c r="L21" s="68" t="s">
        <v>13</v>
      </c>
      <c r="M21" s="5">
        <v>8000000</v>
      </c>
      <c r="N21" s="68"/>
      <c r="O21" s="68"/>
      <c r="P21" s="68"/>
      <c r="Q21" s="68"/>
      <c r="R21" s="68"/>
    </row>
    <row r="22" spans="1:18" x14ac:dyDescent="0.2">
      <c r="A22" s="68" t="s">
        <v>42</v>
      </c>
      <c r="B22" s="68" t="s">
        <v>43</v>
      </c>
      <c r="C22" s="68" t="s">
        <v>35</v>
      </c>
      <c r="D22" s="68" t="s">
        <v>51</v>
      </c>
      <c r="E22" s="68" t="s">
        <v>37</v>
      </c>
      <c r="F22" s="68" t="s">
        <v>38</v>
      </c>
      <c r="G22" s="68" t="s">
        <v>138</v>
      </c>
      <c r="H22" s="68" t="s">
        <v>55</v>
      </c>
      <c r="I22" s="68" t="s">
        <v>11</v>
      </c>
      <c r="J22" s="68" t="s">
        <v>20</v>
      </c>
      <c r="K22" s="68" t="s">
        <v>41</v>
      </c>
      <c r="L22" s="68" t="s">
        <v>15</v>
      </c>
      <c r="M22" s="5">
        <v>0</v>
      </c>
      <c r="N22" s="68"/>
      <c r="O22" s="68"/>
      <c r="P22" s="68"/>
      <c r="Q22" s="68"/>
      <c r="R22" s="68"/>
    </row>
    <row r="23" spans="1:18" x14ac:dyDescent="0.2">
      <c r="A23" s="68" t="s">
        <v>42</v>
      </c>
      <c r="B23" s="68" t="s">
        <v>43</v>
      </c>
      <c r="C23" s="68" t="s">
        <v>35</v>
      </c>
      <c r="D23" s="68" t="s">
        <v>51</v>
      </c>
      <c r="E23" s="68" t="s">
        <v>37</v>
      </c>
      <c r="F23" s="68" t="s">
        <v>38</v>
      </c>
      <c r="G23" s="68" t="s">
        <v>54</v>
      </c>
      <c r="H23" s="68" t="s">
        <v>150</v>
      </c>
      <c r="I23" s="68" t="s">
        <v>11</v>
      </c>
      <c r="J23" s="68" t="s">
        <v>20</v>
      </c>
      <c r="K23" s="68" t="s">
        <v>41</v>
      </c>
      <c r="L23" s="68" t="s">
        <v>11</v>
      </c>
      <c r="M23" s="5">
        <v>386422129</v>
      </c>
      <c r="N23" s="5">
        <v>386418518.87</v>
      </c>
      <c r="O23" s="5">
        <v>379616262.51999998</v>
      </c>
      <c r="P23" s="5">
        <v>377914158.35000002</v>
      </c>
      <c r="Q23" s="68"/>
      <c r="R23" s="68"/>
    </row>
    <row r="24" spans="1:18" x14ac:dyDescent="0.2">
      <c r="A24" s="68" t="s">
        <v>42</v>
      </c>
      <c r="B24" s="68" t="s">
        <v>43</v>
      </c>
      <c r="C24" s="68" t="s">
        <v>35</v>
      </c>
      <c r="D24" s="68" t="s">
        <v>51</v>
      </c>
      <c r="E24" s="68" t="s">
        <v>37</v>
      </c>
      <c r="F24" s="68" t="s">
        <v>38</v>
      </c>
      <c r="G24" s="68" t="s">
        <v>124</v>
      </c>
      <c r="H24" s="68" t="s">
        <v>118</v>
      </c>
      <c r="I24" s="68" t="s">
        <v>11</v>
      </c>
      <c r="J24" s="68" t="s">
        <v>20</v>
      </c>
      <c r="K24" s="68" t="s">
        <v>41</v>
      </c>
      <c r="L24" s="68" t="s">
        <v>14</v>
      </c>
      <c r="M24" s="5">
        <v>2483742</v>
      </c>
      <c r="N24" s="5">
        <v>2285383.85</v>
      </c>
      <c r="O24" s="5">
        <v>2285383.85</v>
      </c>
      <c r="P24" s="5">
        <v>2285383.85</v>
      </c>
      <c r="Q24" s="68"/>
      <c r="R24" s="68"/>
    </row>
    <row r="25" spans="1:18" x14ac:dyDescent="0.2">
      <c r="A25" s="68" t="s">
        <v>42</v>
      </c>
      <c r="B25" s="68" t="s">
        <v>43</v>
      </c>
      <c r="C25" s="68" t="s">
        <v>35</v>
      </c>
      <c r="D25" s="68" t="s">
        <v>36</v>
      </c>
      <c r="E25" s="68" t="s">
        <v>37</v>
      </c>
      <c r="F25" s="68" t="s">
        <v>38</v>
      </c>
      <c r="G25" s="68" t="s">
        <v>39</v>
      </c>
      <c r="H25" s="68" t="s">
        <v>40</v>
      </c>
      <c r="I25" s="68" t="s">
        <v>11</v>
      </c>
      <c r="J25" s="68" t="s">
        <v>20</v>
      </c>
      <c r="K25" s="68" t="s">
        <v>41</v>
      </c>
      <c r="L25" s="68" t="s">
        <v>14</v>
      </c>
      <c r="M25" s="5">
        <v>1531018</v>
      </c>
      <c r="N25" s="5">
        <v>1302268.28</v>
      </c>
      <c r="O25" s="5">
        <v>1242417.28</v>
      </c>
      <c r="P25" s="5">
        <v>1242417.28</v>
      </c>
      <c r="Q25" s="68"/>
      <c r="R25" s="68"/>
    </row>
    <row r="26" spans="1:18" x14ac:dyDescent="0.2">
      <c r="A26" s="68" t="s">
        <v>42</v>
      </c>
      <c r="B26" s="68" t="s">
        <v>43</v>
      </c>
      <c r="C26" s="68" t="s">
        <v>35</v>
      </c>
      <c r="D26" s="68" t="s">
        <v>56</v>
      </c>
      <c r="E26" s="68" t="s">
        <v>37</v>
      </c>
      <c r="F26" s="68" t="s">
        <v>38</v>
      </c>
      <c r="G26" s="68" t="s">
        <v>57</v>
      </c>
      <c r="H26" s="68" t="s">
        <v>58</v>
      </c>
      <c r="I26" s="68" t="s">
        <v>11</v>
      </c>
      <c r="J26" s="68" t="s">
        <v>20</v>
      </c>
      <c r="K26" s="68" t="s">
        <v>41</v>
      </c>
      <c r="L26" s="68" t="s">
        <v>14</v>
      </c>
      <c r="M26" s="5">
        <v>517525</v>
      </c>
      <c r="N26" s="5">
        <v>505239.92</v>
      </c>
      <c r="O26" s="5">
        <v>491319.01</v>
      </c>
      <c r="P26" s="5">
        <v>491319.01</v>
      </c>
      <c r="Q26" s="68"/>
      <c r="R26" s="68"/>
    </row>
    <row r="27" spans="1:18" x14ac:dyDescent="0.2">
      <c r="A27" s="68" t="s">
        <v>42</v>
      </c>
      <c r="B27" s="68" t="s">
        <v>43</v>
      </c>
      <c r="C27" s="68" t="s">
        <v>35</v>
      </c>
      <c r="D27" s="68" t="s">
        <v>59</v>
      </c>
      <c r="E27" s="68" t="s">
        <v>37</v>
      </c>
      <c r="F27" s="68" t="s">
        <v>38</v>
      </c>
      <c r="G27" s="68" t="s">
        <v>60</v>
      </c>
      <c r="H27" s="68" t="s">
        <v>61</v>
      </c>
      <c r="I27" s="68" t="s">
        <v>62</v>
      </c>
      <c r="J27" s="68" t="s">
        <v>20</v>
      </c>
      <c r="K27" s="68" t="s">
        <v>41</v>
      </c>
      <c r="L27" s="68" t="s">
        <v>15</v>
      </c>
      <c r="M27" s="5">
        <v>15000</v>
      </c>
      <c r="N27" s="5">
        <v>10589</v>
      </c>
      <c r="O27" s="68"/>
      <c r="P27" s="68"/>
      <c r="Q27" s="68"/>
      <c r="R27" s="68"/>
    </row>
    <row r="28" spans="1:18" x14ac:dyDescent="0.2">
      <c r="A28" s="68" t="s">
        <v>42</v>
      </c>
      <c r="B28" s="68" t="s">
        <v>43</v>
      </c>
      <c r="C28" s="68" t="s">
        <v>35</v>
      </c>
      <c r="D28" s="68" t="s">
        <v>59</v>
      </c>
      <c r="E28" s="68" t="s">
        <v>37</v>
      </c>
      <c r="F28" s="68" t="s">
        <v>38</v>
      </c>
      <c r="G28" s="68" t="s">
        <v>60</v>
      </c>
      <c r="H28" s="68" t="s">
        <v>61</v>
      </c>
      <c r="I28" s="68" t="s">
        <v>62</v>
      </c>
      <c r="J28" s="68" t="s">
        <v>20</v>
      </c>
      <c r="K28" s="68" t="s">
        <v>41</v>
      </c>
      <c r="L28" s="68" t="s">
        <v>14</v>
      </c>
      <c r="M28" s="5">
        <v>12317400</v>
      </c>
      <c r="N28" s="5">
        <v>12317400</v>
      </c>
      <c r="O28" s="5">
        <v>11359975.92</v>
      </c>
      <c r="P28" s="5">
        <v>11359975.92</v>
      </c>
      <c r="Q28" s="68"/>
      <c r="R28" s="68"/>
    </row>
    <row r="29" spans="1:18" x14ac:dyDescent="0.2">
      <c r="A29" s="68" t="s">
        <v>42</v>
      </c>
      <c r="B29" s="68" t="s">
        <v>43</v>
      </c>
      <c r="C29" s="68" t="s">
        <v>35</v>
      </c>
      <c r="D29" s="68" t="s">
        <v>63</v>
      </c>
      <c r="E29" s="68" t="s">
        <v>37</v>
      </c>
      <c r="F29" s="68" t="s">
        <v>38</v>
      </c>
      <c r="G29" s="68" t="s">
        <v>64</v>
      </c>
      <c r="H29" s="68" t="s">
        <v>65</v>
      </c>
      <c r="I29" s="68" t="s">
        <v>11</v>
      </c>
      <c r="J29" s="68" t="s">
        <v>20</v>
      </c>
      <c r="K29" s="68" t="s">
        <v>41</v>
      </c>
      <c r="L29" s="68" t="s">
        <v>14</v>
      </c>
      <c r="M29" s="5">
        <v>130606.18</v>
      </c>
      <c r="N29" s="5">
        <v>130606.18</v>
      </c>
      <c r="O29" s="5">
        <v>130606.18</v>
      </c>
      <c r="P29" s="5">
        <v>130606.18</v>
      </c>
      <c r="Q29" s="68"/>
      <c r="R29" s="68"/>
    </row>
    <row r="30" spans="1:18" x14ac:dyDescent="0.2">
      <c r="A30" s="68" t="s">
        <v>42</v>
      </c>
      <c r="B30" s="68" t="s">
        <v>43</v>
      </c>
      <c r="C30" s="68" t="s">
        <v>35</v>
      </c>
      <c r="D30" s="68" t="s">
        <v>63</v>
      </c>
      <c r="E30" s="68" t="s">
        <v>37</v>
      </c>
      <c r="F30" s="68" t="s">
        <v>38</v>
      </c>
      <c r="G30" s="68" t="s">
        <v>66</v>
      </c>
      <c r="H30" s="68" t="s">
        <v>67</v>
      </c>
      <c r="I30" s="68" t="s">
        <v>11</v>
      </c>
      <c r="J30" s="68" t="s">
        <v>20</v>
      </c>
      <c r="K30" s="68" t="s">
        <v>41</v>
      </c>
      <c r="L30" s="68" t="s">
        <v>14</v>
      </c>
      <c r="M30" s="5">
        <v>2170448</v>
      </c>
      <c r="N30" s="5">
        <v>2155017</v>
      </c>
      <c r="O30" s="5">
        <v>2155017</v>
      </c>
      <c r="P30" s="5">
        <v>2155017</v>
      </c>
      <c r="Q30" s="68"/>
      <c r="R30" s="68"/>
    </row>
    <row r="31" spans="1:18" x14ac:dyDescent="0.2">
      <c r="A31" s="68" t="s">
        <v>42</v>
      </c>
      <c r="B31" s="68" t="s">
        <v>43</v>
      </c>
      <c r="C31" s="68" t="s">
        <v>35</v>
      </c>
      <c r="D31" s="68" t="s">
        <v>63</v>
      </c>
      <c r="E31" s="68" t="s">
        <v>37</v>
      </c>
      <c r="F31" s="68" t="s">
        <v>38</v>
      </c>
      <c r="G31" s="68" t="s">
        <v>68</v>
      </c>
      <c r="H31" s="68" t="s">
        <v>69</v>
      </c>
      <c r="I31" s="68" t="s">
        <v>11</v>
      </c>
      <c r="J31" s="68" t="s">
        <v>20</v>
      </c>
      <c r="K31" s="68" t="s">
        <v>41</v>
      </c>
      <c r="L31" s="68" t="s">
        <v>14</v>
      </c>
      <c r="M31" s="5">
        <v>1236000</v>
      </c>
      <c r="N31" s="5">
        <v>1024748.5</v>
      </c>
      <c r="O31" s="5">
        <v>1024748.5</v>
      </c>
      <c r="P31" s="5">
        <v>1024748.5</v>
      </c>
      <c r="Q31" s="68"/>
      <c r="R31" s="68"/>
    </row>
    <row r="32" spans="1:18" x14ac:dyDescent="0.2">
      <c r="A32" s="68" t="s">
        <v>42</v>
      </c>
      <c r="B32" s="68" t="s">
        <v>43</v>
      </c>
      <c r="C32" s="68" t="s">
        <v>35</v>
      </c>
      <c r="D32" s="68" t="s">
        <v>63</v>
      </c>
      <c r="E32" s="68" t="s">
        <v>37</v>
      </c>
      <c r="F32" s="68" t="s">
        <v>38</v>
      </c>
      <c r="G32" s="68" t="s">
        <v>70</v>
      </c>
      <c r="H32" s="68" t="s">
        <v>71</v>
      </c>
      <c r="I32" s="68" t="s">
        <v>11</v>
      </c>
      <c r="J32" s="68" t="s">
        <v>20</v>
      </c>
      <c r="K32" s="68" t="s">
        <v>41</v>
      </c>
      <c r="L32" s="68" t="s">
        <v>14</v>
      </c>
      <c r="M32" s="5">
        <v>19565248</v>
      </c>
      <c r="N32" s="5">
        <v>19400161.100000001</v>
      </c>
      <c r="O32" s="5">
        <v>19399839.649999999</v>
      </c>
      <c r="P32" s="5">
        <v>19399839.649999999</v>
      </c>
      <c r="Q32" s="68"/>
      <c r="R32" s="68"/>
    </row>
    <row r="33" spans="1:18" x14ac:dyDescent="0.2">
      <c r="A33" s="68" t="s">
        <v>42</v>
      </c>
      <c r="B33" s="68" t="s">
        <v>43</v>
      </c>
      <c r="C33" s="68" t="s">
        <v>35</v>
      </c>
      <c r="D33" s="68" t="s">
        <v>139</v>
      </c>
      <c r="E33" s="68" t="s">
        <v>37</v>
      </c>
      <c r="F33" s="68" t="s">
        <v>38</v>
      </c>
      <c r="G33" s="68" t="s">
        <v>52</v>
      </c>
      <c r="H33" s="68" t="s">
        <v>53</v>
      </c>
      <c r="I33" s="68" t="s">
        <v>11</v>
      </c>
      <c r="J33" s="68" t="s">
        <v>20</v>
      </c>
      <c r="K33" s="68" t="s">
        <v>41</v>
      </c>
      <c r="L33" s="68" t="s">
        <v>11</v>
      </c>
      <c r="M33" s="5">
        <v>66891110.119999997</v>
      </c>
      <c r="N33" s="5">
        <v>66891110.119999997</v>
      </c>
      <c r="O33" s="5">
        <v>66635480.259999998</v>
      </c>
      <c r="P33" s="5">
        <v>66635480.259999998</v>
      </c>
      <c r="Q33" s="68"/>
      <c r="R33" s="68"/>
    </row>
    <row r="34" spans="1:18" x14ac:dyDescent="0.2">
      <c r="A34" s="68" t="s">
        <v>42</v>
      </c>
      <c r="B34" s="68" t="s">
        <v>43</v>
      </c>
      <c r="C34" s="68" t="s">
        <v>72</v>
      </c>
      <c r="D34" s="68" t="s">
        <v>73</v>
      </c>
      <c r="E34" s="68" t="s">
        <v>74</v>
      </c>
      <c r="F34" s="68" t="s">
        <v>75</v>
      </c>
      <c r="G34" s="68" t="s">
        <v>76</v>
      </c>
      <c r="H34" s="68" t="s">
        <v>151</v>
      </c>
      <c r="I34" s="68" t="s">
        <v>62</v>
      </c>
      <c r="J34" s="68" t="s">
        <v>20</v>
      </c>
      <c r="K34" s="68" t="s">
        <v>41</v>
      </c>
      <c r="L34" s="68" t="s">
        <v>11</v>
      </c>
      <c r="M34" s="5">
        <v>20383369</v>
      </c>
      <c r="N34" s="5">
        <v>20383369</v>
      </c>
      <c r="O34" s="5">
        <v>20295352</v>
      </c>
      <c r="P34" s="5">
        <v>19800242.59</v>
      </c>
      <c r="Q34" s="68"/>
      <c r="R34" s="68"/>
    </row>
    <row r="35" spans="1:18" x14ac:dyDescent="0.2">
      <c r="A35" s="68" t="s">
        <v>42</v>
      </c>
      <c r="B35" s="68" t="s">
        <v>43</v>
      </c>
      <c r="C35" s="68" t="s">
        <v>72</v>
      </c>
      <c r="D35" s="68" t="s">
        <v>73</v>
      </c>
      <c r="E35" s="68" t="s">
        <v>74</v>
      </c>
      <c r="F35" s="68" t="s">
        <v>75</v>
      </c>
      <c r="G35" s="68" t="s">
        <v>76</v>
      </c>
      <c r="H35" s="68" t="s">
        <v>151</v>
      </c>
      <c r="I35" s="68" t="s">
        <v>62</v>
      </c>
      <c r="J35" s="68" t="s">
        <v>18</v>
      </c>
      <c r="K35" s="68" t="s">
        <v>77</v>
      </c>
      <c r="L35" s="68" t="s">
        <v>11</v>
      </c>
      <c r="M35" s="5">
        <v>27600000</v>
      </c>
      <c r="N35" s="5">
        <v>27600000</v>
      </c>
      <c r="O35" s="5">
        <v>27600000</v>
      </c>
      <c r="P35" s="5">
        <v>27600000</v>
      </c>
      <c r="Q35" s="68"/>
      <c r="R35" s="68"/>
    </row>
    <row r="36" spans="1:18" x14ac:dyDescent="0.2">
      <c r="A36" s="68" t="s">
        <v>42</v>
      </c>
      <c r="B36" s="68" t="s">
        <v>43</v>
      </c>
      <c r="C36" s="68" t="s">
        <v>72</v>
      </c>
      <c r="D36" s="68" t="s">
        <v>73</v>
      </c>
      <c r="E36" s="68" t="s">
        <v>74</v>
      </c>
      <c r="F36" s="68" t="s">
        <v>75</v>
      </c>
      <c r="G36" s="68" t="s">
        <v>76</v>
      </c>
      <c r="H36" s="68" t="s">
        <v>151</v>
      </c>
      <c r="I36" s="68" t="s">
        <v>62</v>
      </c>
      <c r="J36" s="68" t="s">
        <v>19</v>
      </c>
      <c r="K36" s="68" t="s">
        <v>78</v>
      </c>
      <c r="L36" s="68" t="s">
        <v>11</v>
      </c>
      <c r="M36" s="5">
        <v>55200000</v>
      </c>
      <c r="N36" s="5">
        <v>55198671.399999999</v>
      </c>
      <c r="O36" s="5">
        <v>55198671.399999999</v>
      </c>
      <c r="P36" s="5">
        <v>55198671.399999999</v>
      </c>
      <c r="Q36" s="68"/>
      <c r="R36" s="68"/>
    </row>
    <row r="38" spans="1:18" x14ac:dyDescent="0.2">
      <c r="M38" s="56">
        <f>SUM(M9:M37)</f>
        <v>668145594.29999995</v>
      </c>
      <c r="N38" s="56">
        <f t="shared" ref="N38:P38" si="0">SUM(N9:N37)</f>
        <v>651930831.01999998</v>
      </c>
      <c r="O38" s="56">
        <f t="shared" si="0"/>
        <v>636265858.27999985</v>
      </c>
      <c r="P38" s="56">
        <f t="shared" si="0"/>
        <v>634068644.69999993</v>
      </c>
    </row>
  </sheetData>
  <mergeCells count="1">
    <mergeCell ref="A4:P4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25" zoomScaleNormal="100" zoomScaleSheetLayoutView="10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7.5703125" style="3" customWidth="1"/>
    <col min="17" max="17" width="11" style="1" customWidth="1"/>
    <col min="18" max="18" width="17.5703125" style="3" customWidth="1"/>
    <col min="19" max="19" width="17" style="1" customWidth="1"/>
    <col min="20" max="20" width="9.28515625" style="3" bestFit="1" customWidth="1"/>
    <col min="21" max="21" width="17" style="4" customWidth="1"/>
    <col min="22" max="22" width="9.28515625" style="4" bestFit="1" customWidth="1"/>
    <col min="23" max="23" width="21.57031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43160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+'Access-Mar'!A10</f>
        <v>12104</v>
      </c>
      <c r="B10" s="25" t="str">
        <f>+'Access-Mar'!B10</f>
        <v>TRIBUNAL REGIONAL FEDERAL DA 3A. REGIAO</v>
      </c>
      <c r="C10" s="26" t="str">
        <f>CONCATENATE('Access-Mar'!C10,".",'Access-Mar'!D10)</f>
        <v>02.061</v>
      </c>
      <c r="D10" s="26" t="str">
        <f>CONCATENATE('Access-Mar'!E10,".",'Access-Mar'!G10)</f>
        <v>0569.4224</v>
      </c>
      <c r="E10" s="25" t="str">
        <f>+'Access-Mar'!F10</f>
        <v>PRESTACAO JURISDICIONAL NA JUSTICA FEDERAL</v>
      </c>
      <c r="F10" s="27" t="str">
        <f>+'Access-Mar'!H10</f>
        <v>ASSISTENCIA JURIDICA A PESSOAS CARENTES</v>
      </c>
      <c r="G10" s="24" t="str">
        <f>IF('Access-Mar'!I10="1","F","S")</f>
        <v>F</v>
      </c>
      <c r="H10" s="24" t="str">
        <f>+'Access-Mar'!J10</f>
        <v>0100</v>
      </c>
      <c r="I10" s="28" t="str">
        <f>+'Access-Mar'!K10</f>
        <v>RECURSOS ORDINARIOS</v>
      </c>
      <c r="J10" s="24" t="str">
        <f>+'Access-Mar'!L10</f>
        <v>3</v>
      </c>
      <c r="K10" s="47"/>
      <c r="L10" s="48"/>
      <c r="M10" s="48"/>
      <c r="N10" s="49">
        <f>+K10+L10-M10</f>
        <v>0</v>
      </c>
      <c r="O10" s="47"/>
      <c r="P10" s="29">
        <f>'Access-Mar'!M10</f>
        <v>15000</v>
      </c>
      <c r="Q10" s="29"/>
      <c r="R10" s="29">
        <f>N10-O10+P10</f>
        <v>15000</v>
      </c>
      <c r="S10" s="55">
        <f>'Access-Mar'!N10</f>
        <v>15000</v>
      </c>
      <c r="T10" s="44">
        <f>IF(R10&gt;0,S10/R10,0)</f>
        <v>1</v>
      </c>
      <c r="U10" s="29">
        <f>'Access-Mar'!O10</f>
        <v>0</v>
      </c>
      <c r="V10" s="30">
        <f>IF(R10&gt;0,U10/R10,0)</f>
        <v>0</v>
      </c>
      <c r="W10" s="29">
        <f>'Access-Mar'!P10</f>
        <v>0</v>
      </c>
      <c r="X10" s="30">
        <f>IF(R10&gt;0,W10/R10,0)</f>
        <v>0</v>
      </c>
    </row>
    <row r="11" spans="1:24" ht="25.5" customHeight="1" x14ac:dyDescent="0.2">
      <c r="A11" s="31" t="str">
        <f>+'Access-Mar'!A11</f>
        <v>12104</v>
      </c>
      <c r="B11" s="32" t="str">
        <f>+'Access-Mar'!B11</f>
        <v>TRIBUNAL REGIONAL FEDERAL DA 3A. REGIAO</v>
      </c>
      <c r="C11" s="31" t="str">
        <f>CONCATENATE('Access-Mar'!C11,".",'Access-Mar'!D11)</f>
        <v>02.061</v>
      </c>
      <c r="D11" s="31" t="str">
        <f>CONCATENATE('Access-Mar'!E11,".",'Access-Mar'!G11)</f>
        <v>0569.4257</v>
      </c>
      <c r="E11" s="32" t="str">
        <f>+'Access-Mar'!F11</f>
        <v>PRESTACAO JURISDICIONAL NA JUSTICA FEDERAL</v>
      </c>
      <c r="F11" s="33" t="str">
        <f>+'Access-Mar'!H11</f>
        <v>JULGAMENTO DE CAUSAS NA JUSTICA FEDERAL</v>
      </c>
      <c r="G11" s="31" t="str">
        <f>IF('Access-Mar'!I11="1","F","S")</f>
        <v>F</v>
      </c>
      <c r="H11" s="31" t="str">
        <f>+'Access-Mar'!J11</f>
        <v>0100</v>
      </c>
      <c r="I11" s="32" t="str">
        <f>+'Access-Mar'!K11</f>
        <v>RECURSOS ORDINARIOS</v>
      </c>
      <c r="J11" s="31" t="str">
        <f>+'Access-Mar'!L11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'Access-Mar'!M11</f>
        <v>2749136</v>
      </c>
      <c r="Q11" s="34"/>
      <c r="R11" s="34">
        <f t="shared" ref="R11:R27" si="1">N11-O11+P11</f>
        <v>2749136</v>
      </c>
      <c r="S11" s="39">
        <f>'Access-Mar'!N11</f>
        <v>0</v>
      </c>
      <c r="T11" s="35">
        <f t="shared" ref="T11:T28" si="2">IF(R11&gt;0,S11/R11,0)</f>
        <v>0</v>
      </c>
      <c r="U11" s="34">
        <f>'Access-Mar'!O11</f>
        <v>0</v>
      </c>
      <c r="V11" s="35">
        <f t="shared" ref="V11:V28" si="3">IF(R11&gt;0,U11/R11,0)</f>
        <v>0</v>
      </c>
      <c r="W11" s="34">
        <f>'Access-Mar'!P11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+'Access-Mar'!A12</f>
        <v>12104</v>
      </c>
      <c r="B12" s="32" t="str">
        <f>+'Access-Mar'!B12</f>
        <v>TRIBUNAL REGIONAL FEDERAL DA 3A. REGIAO</v>
      </c>
      <c r="C12" s="31" t="str">
        <f>CONCATENATE('Access-Mar'!C12,".",'Access-Mar'!D12)</f>
        <v>02.061</v>
      </c>
      <c r="D12" s="31" t="str">
        <f>CONCATENATE('Access-Mar'!E12,".",'Access-Mar'!G12)</f>
        <v>0569.4257</v>
      </c>
      <c r="E12" s="32" t="str">
        <f>+'Access-Mar'!F12</f>
        <v>PRESTACAO JURISDICIONAL NA JUSTICA FEDERAL</v>
      </c>
      <c r="F12" s="32" t="str">
        <f>+'Access-Mar'!H12</f>
        <v>JULGAMENTO DE CAUSAS NA JUSTICA FEDERAL</v>
      </c>
      <c r="G12" s="31" t="str">
        <f>IF('Access-Mar'!I12="1","F","S")</f>
        <v>F</v>
      </c>
      <c r="H12" s="31" t="str">
        <f>+'Access-Mar'!J12</f>
        <v>0100</v>
      </c>
      <c r="I12" s="32" t="str">
        <f>+'Access-Mar'!K12</f>
        <v>RECURSOS ORDINARIOS</v>
      </c>
      <c r="J12" s="31" t="str">
        <f>+'Access-Mar'!L12</f>
        <v>3</v>
      </c>
      <c r="K12" s="34"/>
      <c r="L12" s="34"/>
      <c r="M12" s="34"/>
      <c r="N12" s="50">
        <f t="shared" si="0"/>
        <v>0</v>
      </c>
      <c r="O12" s="34"/>
      <c r="P12" s="34">
        <f>'Access-Mar'!M12</f>
        <v>46555370</v>
      </c>
      <c r="Q12" s="34"/>
      <c r="R12" s="34">
        <f t="shared" si="1"/>
        <v>46555370</v>
      </c>
      <c r="S12" s="39">
        <f>'Access-Mar'!N12</f>
        <v>36619925.649999999</v>
      </c>
      <c r="T12" s="35">
        <f t="shared" si="2"/>
        <v>0.78658865024593294</v>
      </c>
      <c r="U12" s="34">
        <f>'Access-Mar'!O12</f>
        <v>6407288.2800000003</v>
      </c>
      <c r="V12" s="35">
        <f t="shared" si="3"/>
        <v>0.1376272657697705</v>
      </c>
      <c r="W12" s="34">
        <f>'Access-Mar'!P12</f>
        <v>4945929.55</v>
      </c>
      <c r="X12" s="35">
        <f t="shared" si="4"/>
        <v>0.10623757366765638</v>
      </c>
    </row>
    <row r="13" spans="1:24" ht="25.5" customHeight="1" x14ac:dyDescent="0.2">
      <c r="A13" s="31" t="str">
        <f>+'Access-Mar'!A13</f>
        <v>12104</v>
      </c>
      <c r="B13" s="32" t="str">
        <f>+'Access-Mar'!B13</f>
        <v>TRIBUNAL REGIONAL FEDERAL DA 3A. REGIAO</v>
      </c>
      <c r="C13" s="31" t="str">
        <f>CONCATENATE('Access-Mar'!C13,".",'Access-Mar'!D13)</f>
        <v>02.061</v>
      </c>
      <c r="D13" s="31" t="str">
        <f>CONCATENATE('Access-Mar'!E13,".",'Access-Mar'!G13)</f>
        <v>0569.4257</v>
      </c>
      <c r="E13" s="32" t="str">
        <f>+'Access-Mar'!F13</f>
        <v>PRESTACAO JURISDICIONAL NA JUSTICA FEDERAL</v>
      </c>
      <c r="F13" s="32" t="str">
        <f>+'Access-Mar'!H13</f>
        <v>JULGAMENTO DE CAUSAS NA JUSTICA FEDERAL</v>
      </c>
      <c r="G13" s="31" t="str">
        <f>IF('Access-Mar'!I13="1","F","S")</f>
        <v>F</v>
      </c>
      <c r="H13" s="31" t="str">
        <f>+'Access-Mar'!J13</f>
        <v>0127</v>
      </c>
      <c r="I13" s="32" t="str">
        <f>+'Access-Mar'!K13</f>
        <v>CUSTAS E EMOLUMENTOS - PODER JUDICIARIO</v>
      </c>
      <c r="J13" s="31" t="str">
        <f>+'Access-Mar'!L13</f>
        <v>3</v>
      </c>
      <c r="K13" s="34"/>
      <c r="L13" s="34"/>
      <c r="M13" s="34"/>
      <c r="N13" s="50">
        <f t="shared" si="0"/>
        <v>0</v>
      </c>
      <c r="O13" s="34"/>
      <c r="P13" s="34">
        <f>'Access-Mar'!M13</f>
        <v>7243081</v>
      </c>
      <c r="Q13" s="34"/>
      <c r="R13" s="34">
        <f t="shared" si="1"/>
        <v>7243081</v>
      </c>
      <c r="S13" s="39">
        <f>'Access-Mar'!N13</f>
        <v>7159159.6799999997</v>
      </c>
      <c r="T13" s="35">
        <f t="shared" si="2"/>
        <v>0.98841358808495994</v>
      </c>
      <c r="U13" s="34">
        <f>'Access-Mar'!O13</f>
        <v>1678632.94</v>
      </c>
      <c r="V13" s="35">
        <f t="shared" si="3"/>
        <v>0.23175675379027239</v>
      </c>
      <c r="W13" s="34">
        <f>'Access-Mar'!P13</f>
        <v>1372361.08</v>
      </c>
      <c r="X13" s="35">
        <f t="shared" si="4"/>
        <v>0.18947200507629283</v>
      </c>
    </row>
    <row r="14" spans="1:24" ht="25.5" customHeight="1" x14ac:dyDescent="0.2">
      <c r="A14" s="31" t="str">
        <f>+'Access-Mar'!A14</f>
        <v>12104</v>
      </c>
      <c r="B14" s="32" t="str">
        <f>+'Access-Mar'!B14</f>
        <v>TRIBUNAL REGIONAL FEDERAL DA 3A. REGIAO</v>
      </c>
      <c r="C14" s="31" t="str">
        <f>CONCATENATE('Access-Mar'!C14,".",'Access-Mar'!D14)</f>
        <v>02.061</v>
      </c>
      <c r="D14" s="31" t="str">
        <f>CONCATENATE('Access-Mar'!E14,".",'Access-Mar'!G14)</f>
        <v>0569.4257</v>
      </c>
      <c r="E14" s="32" t="str">
        <f>+'Access-Mar'!F14</f>
        <v>PRESTACAO JURISDICIONAL NA JUSTICA FEDERAL</v>
      </c>
      <c r="F14" s="32" t="str">
        <f>+'Access-Mar'!H14</f>
        <v>JULGAMENTO DE CAUSAS NA JUSTICA FEDERAL</v>
      </c>
      <c r="G14" s="31" t="str">
        <f>IF('Access-Mar'!I14="1","F","S")</f>
        <v>F</v>
      </c>
      <c r="H14" s="31" t="str">
        <f>+'Access-Mar'!J14</f>
        <v>0181</v>
      </c>
      <c r="I14" s="32" t="str">
        <f>+'Access-Mar'!K14</f>
        <v>RECURSOS DE CONVENIOS</v>
      </c>
      <c r="J14" s="31" t="str">
        <f>+'Access-Mar'!L14</f>
        <v>4</v>
      </c>
      <c r="K14" s="34"/>
      <c r="L14" s="34"/>
      <c r="M14" s="34"/>
      <c r="N14" s="50">
        <f t="shared" si="0"/>
        <v>0</v>
      </c>
      <c r="O14" s="34"/>
      <c r="P14" s="34">
        <f>'Access-Mar'!M14</f>
        <v>3394236</v>
      </c>
      <c r="Q14" s="34"/>
      <c r="R14" s="34">
        <f t="shared" si="1"/>
        <v>3394236</v>
      </c>
      <c r="S14" s="39">
        <f>'Access-Mar'!N14</f>
        <v>0</v>
      </c>
      <c r="T14" s="35">
        <f t="shared" si="2"/>
        <v>0</v>
      </c>
      <c r="U14" s="34">
        <f>'Access-Mar'!O14</f>
        <v>0</v>
      </c>
      <c r="V14" s="35">
        <f t="shared" si="3"/>
        <v>0</v>
      </c>
      <c r="W14" s="34">
        <f>'Access-Mar'!P14</f>
        <v>0</v>
      </c>
      <c r="X14" s="35">
        <f t="shared" si="4"/>
        <v>0</v>
      </c>
    </row>
    <row r="15" spans="1:24" ht="25.5" customHeight="1" x14ac:dyDescent="0.2">
      <c r="A15" s="31" t="str">
        <f>+'Access-Mar'!A15</f>
        <v>12104</v>
      </c>
      <c r="B15" s="32" t="str">
        <f>+'Access-Mar'!B15</f>
        <v>TRIBUNAL REGIONAL FEDERAL DA 3A. REGIAO</v>
      </c>
      <c r="C15" s="31" t="str">
        <f>CONCATENATE('Access-Mar'!C15,".",'Access-Mar'!D15)</f>
        <v>02.122</v>
      </c>
      <c r="D15" s="31" t="str">
        <f>CONCATENATE('Access-Mar'!E15,".",'Access-Mar'!G15)</f>
        <v>0569.15NZ</v>
      </c>
      <c r="E15" s="32" t="str">
        <f>+'Access-Mar'!F15</f>
        <v>PRESTACAO JURISDICIONAL NA JUSTICA FEDERAL</v>
      </c>
      <c r="F15" s="32" t="str">
        <f>+'Access-Mar'!H15</f>
        <v>REFORMA DO EDIFICIO-SEDE DO TRIBUNAL REGIONAL FEDERAL DA 3.</v>
      </c>
      <c r="G15" s="31" t="str">
        <f>IF('Access-Mar'!I15="1","F","S")</f>
        <v>F</v>
      </c>
      <c r="H15" s="31" t="str">
        <f>+'Access-Mar'!J15</f>
        <v>0100</v>
      </c>
      <c r="I15" s="32" t="str">
        <f>+'Access-Mar'!K15</f>
        <v>RECURSOS ORDINARIOS</v>
      </c>
      <c r="J15" s="31" t="str">
        <f>+'Access-Mar'!L15</f>
        <v>4</v>
      </c>
      <c r="K15" s="50"/>
      <c r="L15" s="50"/>
      <c r="M15" s="50"/>
      <c r="N15" s="50">
        <f t="shared" si="0"/>
        <v>0</v>
      </c>
      <c r="O15" s="50"/>
      <c r="P15" s="34">
        <f>'Access-Mar'!M15</f>
        <v>7000000</v>
      </c>
      <c r="Q15" s="34"/>
      <c r="R15" s="34">
        <f t="shared" si="1"/>
        <v>7000000</v>
      </c>
      <c r="S15" s="39">
        <f>'Access-Mar'!N15</f>
        <v>0</v>
      </c>
      <c r="T15" s="35">
        <f t="shared" si="2"/>
        <v>0</v>
      </c>
      <c r="U15" s="34">
        <f>'Access-Mar'!O15</f>
        <v>0</v>
      </c>
      <c r="V15" s="35">
        <f t="shared" si="3"/>
        <v>0</v>
      </c>
      <c r="W15" s="34">
        <f>'Access-Mar'!P15</f>
        <v>0</v>
      </c>
      <c r="X15" s="35">
        <f t="shared" si="4"/>
        <v>0</v>
      </c>
    </row>
    <row r="16" spans="1:24" ht="25.5" customHeight="1" x14ac:dyDescent="0.2">
      <c r="A16" s="31" t="str">
        <f>+'Access-Mar'!A16</f>
        <v>12104</v>
      </c>
      <c r="B16" s="32" t="str">
        <f>+'Access-Mar'!B16</f>
        <v>TRIBUNAL REGIONAL FEDERAL DA 3A. REGIAO</v>
      </c>
      <c r="C16" s="31" t="str">
        <f>CONCATENATE('Access-Mar'!C16,".",'Access-Mar'!D16)</f>
        <v>02.122</v>
      </c>
      <c r="D16" s="31" t="str">
        <f>CONCATENATE('Access-Mar'!E16,".",'Access-Mar'!G16)</f>
        <v>0569.15PC</v>
      </c>
      <c r="E16" s="32" t="str">
        <f>+'Access-Mar'!F16</f>
        <v>PRESTACAO JURISDICIONAL NA JUSTICA FEDERAL</v>
      </c>
      <c r="F16" s="32" t="str">
        <f>+'Access-Mar'!H16</f>
        <v>AQUISICAO DE IMOVEIS PARA FUNCIONAMENTO DO TRF3 DA 3. REGIAO</v>
      </c>
      <c r="G16" s="31" t="str">
        <f>IF('Access-Mar'!I16="1","F","S")</f>
        <v>F</v>
      </c>
      <c r="H16" s="31" t="str">
        <f>+'Access-Mar'!J16</f>
        <v>0181</v>
      </c>
      <c r="I16" s="32" t="str">
        <f>+'Access-Mar'!K16</f>
        <v>RECURSOS DE CONVENIOS</v>
      </c>
      <c r="J16" s="31" t="str">
        <f>+'Access-Mar'!L16</f>
        <v>5</v>
      </c>
      <c r="K16" s="34"/>
      <c r="L16" s="34"/>
      <c r="M16" s="34"/>
      <c r="N16" s="50">
        <f t="shared" si="0"/>
        <v>0</v>
      </c>
      <c r="O16" s="34"/>
      <c r="P16" s="34">
        <f>'Access-Mar'!M16</f>
        <v>9000000</v>
      </c>
      <c r="Q16" s="34"/>
      <c r="R16" s="34">
        <f t="shared" si="1"/>
        <v>9000000</v>
      </c>
      <c r="S16" s="39">
        <f>'Access-Mar'!N16</f>
        <v>0</v>
      </c>
      <c r="T16" s="35">
        <f t="shared" si="2"/>
        <v>0</v>
      </c>
      <c r="U16" s="34">
        <f>'Access-Mar'!O16</f>
        <v>0</v>
      </c>
      <c r="V16" s="35">
        <f t="shared" si="3"/>
        <v>0</v>
      </c>
      <c r="W16" s="34">
        <f>'Access-Mar'!P16</f>
        <v>0</v>
      </c>
      <c r="X16" s="35">
        <f t="shared" si="4"/>
        <v>0</v>
      </c>
    </row>
    <row r="17" spans="1:24" ht="25.5" customHeight="1" x14ac:dyDescent="0.2">
      <c r="A17" s="31" t="str">
        <f>+'Access-Mar'!A17</f>
        <v>12104</v>
      </c>
      <c r="B17" s="32" t="str">
        <f>+'Access-Mar'!B17</f>
        <v>TRIBUNAL REGIONAL FEDERAL DA 3A. REGIAO</v>
      </c>
      <c r="C17" s="31" t="str">
        <f>CONCATENATE('Access-Mar'!C17,".",'Access-Mar'!D17)</f>
        <v>02.122</v>
      </c>
      <c r="D17" s="31" t="str">
        <f>CONCATENATE('Access-Mar'!E17,".",'Access-Mar'!G17)</f>
        <v>0569.20TP</v>
      </c>
      <c r="E17" s="32" t="str">
        <f>+'Access-Mar'!F17</f>
        <v>PRESTACAO JURISDICIONAL NA JUSTICA FEDERAL</v>
      </c>
      <c r="F17" s="32" t="str">
        <f>+'Access-Mar'!H17</f>
        <v>ATIVOS CIVIS DA UNIAO</v>
      </c>
      <c r="G17" s="31" t="str">
        <f>IF('Access-Mar'!I17="1","F","S")</f>
        <v>F</v>
      </c>
      <c r="H17" s="31" t="str">
        <f>+'Access-Mar'!J17</f>
        <v>0100</v>
      </c>
      <c r="I17" s="32" t="str">
        <f>+'Access-Mar'!K17</f>
        <v>RECURSOS ORDINARIOS</v>
      </c>
      <c r="J17" s="31" t="str">
        <f>+'Access-Mar'!L17</f>
        <v>1</v>
      </c>
      <c r="K17" s="34"/>
      <c r="L17" s="34"/>
      <c r="M17" s="34"/>
      <c r="N17" s="50">
        <f t="shared" si="0"/>
        <v>0</v>
      </c>
      <c r="O17" s="34"/>
      <c r="P17" s="34">
        <f>'Access-Mar'!M17</f>
        <v>105921432.34</v>
      </c>
      <c r="Q17" s="34"/>
      <c r="R17" s="34">
        <f t="shared" si="1"/>
        <v>105921432.34</v>
      </c>
      <c r="S17" s="39">
        <f>'Access-Mar'!N17</f>
        <v>105302914.56999999</v>
      </c>
      <c r="T17" s="35">
        <f t="shared" si="2"/>
        <v>0.99416059850838667</v>
      </c>
      <c r="U17" s="34">
        <f>'Access-Mar'!O17</f>
        <v>105302914.56999999</v>
      </c>
      <c r="V17" s="35">
        <f t="shared" si="3"/>
        <v>0.99416059850838667</v>
      </c>
      <c r="W17" s="34">
        <f>'Access-Mar'!P17</f>
        <v>103622052.84</v>
      </c>
      <c r="X17" s="35">
        <f t="shared" si="4"/>
        <v>0.97829165024299181</v>
      </c>
    </row>
    <row r="18" spans="1:24" ht="25.5" customHeight="1" x14ac:dyDescent="0.2">
      <c r="A18" s="31" t="str">
        <f>+'Access-Mar'!A18</f>
        <v>12104</v>
      </c>
      <c r="B18" s="32" t="str">
        <f>+'Access-Mar'!B18</f>
        <v>TRIBUNAL REGIONAL FEDERAL DA 3A. REGIAO</v>
      </c>
      <c r="C18" s="31" t="str">
        <f>CONCATENATE('Access-Mar'!C18,".",'Access-Mar'!D18)</f>
        <v>02.122</v>
      </c>
      <c r="D18" s="31" t="str">
        <f>CONCATENATE('Access-Mar'!E18,".",'Access-Mar'!G18)</f>
        <v>0569.216H</v>
      </c>
      <c r="E18" s="32" t="str">
        <f>+'Access-Mar'!F18</f>
        <v>PRESTACAO JURISDICIONAL NA JUSTICA FEDERAL</v>
      </c>
      <c r="F18" s="32" t="str">
        <f>+'Access-Mar'!H18</f>
        <v>AJUDA DE CUSTO PARA MORADIA OU AUXILIO-MORADIA A AGENTES PUB</v>
      </c>
      <c r="G18" s="31" t="str">
        <f>IF('Access-Mar'!I18="1","F","S")</f>
        <v>F</v>
      </c>
      <c r="H18" s="31" t="str">
        <f>+'Access-Mar'!J18</f>
        <v>0100</v>
      </c>
      <c r="I18" s="32" t="str">
        <f>+'Access-Mar'!K18</f>
        <v>RECURSOS ORDINARIOS</v>
      </c>
      <c r="J18" s="31" t="str">
        <f>+'Access-Mar'!L18</f>
        <v>3</v>
      </c>
      <c r="K18" s="50"/>
      <c r="L18" s="50"/>
      <c r="M18" s="50"/>
      <c r="N18" s="50">
        <f t="shared" si="0"/>
        <v>0</v>
      </c>
      <c r="O18" s="50"/>
      <c r="P18" s="34">
        <f>'Access-Mar'!M18</f>
        <v>2442858</v>
      </c>
      <c r="Q18" s="34"/>
      <c r="R18" s="34">
        <f t="shared" si="1"/>
        <v>2442858</v>
      </c>
      <c r="S18" s="39">
        <f>'Access-Mar'!N18</f>
        <v>647988.81000000006</v>
      </c>
      <c r="T18" s="35">
        <f t="shared" si="2"/>
        <v>0.26525848411983016</v>
      </c>
      <c r="U18" s="34">
        <f>'Access-Mar'!O18</f>
        <v>556155.81000000006</v>
      </c>
      <c r="V18" s="35">
        <f t="shared" si="3"/>
        <v>0.22766604116981015</v>
      </c>
      <c r="W18" s="34">
        <f>'Access-Mar'!P18</f>
        <v>556155.81000000006</v>
      </c>
      <c r="X18" s="35">
        <f t="shared" si="4"/>
        <v>0.22766604116981015</v>
      </c>
    </row>
    <row r="19" spans="1:24" ht="25.5" customHeight="1" x14ac:dyDescent="0.2">
      <c r="A19" s="31" t="str">
        <f>+'Access-Mar'!A19</f>
        <v>12104</v>
      </c>
      <c r="B19" s="32" t="str">
        <f>+'Access-Mar'!B19</f>
        <v>TRIBUNAL REGIONAL FEDERAL DA 3A. REGIAO</v>
      </c>
      <c r="C19" s="31" t="str">
        <f>CONCATENATE('Access-Mar'!C19,".",'Access-Mar'!D19)</f>
        <v>02.126</v>
      </c>
      <c r="D19" s="31" t="str">
        <f>CONCATENATE('Access-Mar'!E19,".",'Access-Mar'!G19)</f>
        <v>0569.151W</v>
      </c>
      <c r="E19" s="32" t="str">
        <f>+'Access-Mar'!F19</f>
        <v>PRESTACAO JURISDICIONAL NA JUSTICA FEDERAL</v>
      </c>
      <c r="F19" s="32" t="str">
        <f>+'Access-Mar'!H19</f>
        <v>DESENVOLVIMENTO E IMPLANTACAO DO SISTEMA PROCESSO JUDICIAL E</v>
      </c>
      <c r="G19" s="31" t="str">
        <f>IF('Access-Mar'!I19="1","F","S")</f>
        <v>F</v>
      </c>
      <c r="H19" s="31" t="str">
        <f>+'Access-Mar'!J19</f>
        <v>0100</v>
      </c>
      <c r="I19" s="32" t="str">
        <f>+'Access-Mar'!K19</f>
        <v>RECURSOS ORDINARIOS</v>
      </c>
      <c r="J19" s="31" t="str">
        <f>+'Access-Mar'!L19</f>
        <v>4</v>
      </c>
      <c r="K19" s="50"/>
      <c r="L19" s="50"/>
      <c r="M19" s="50"/>
      <c r="N19" s="50">
        <f t="shared" si="0"/>
        <v>0</v>
      </c>
      <c r="O19" s="50"/>
      <c r="P19" s="34">
        <f>'Access-Mar'!M19</f>
        <v>658450</v>
      </c>
      <c r="Q19" s="34"/>
      <c r="R19" s="34">
        <f t="shared" si="1"/>
        <v>658450</v>
      </c>
      <c r="S19" s="39">
        <f>'Access-Mar'!N19</f>
        <v>0</v>
      </c>
      <c r="T19" s="35">
        <f t="shared" si="2"/>
        <v>0</v>
      </c>
      <c r="U19" s="34">
        <f>'Access-Mar'!O19</f>
        <v>0</v>
      </c>
      <c r="V19" s="35">
        <f t="shared" si="3"/>
        <v>0</v>
      </c>
      <c r="W19" s="34">
        <f>'Access-Mar'!P19</f>
        <v>0</v>
      </c>
      <c r="X19" s="35">
        <f t="shared" si="4"/>
        <v>0</v>
      </c>
    </row>
    <row r="20" spans="1:24" ht="25.5" customHeight="1" x14ac:dyDescent="0.2">
      <c r="A20" s="31" t="str">
        <f>+'Access-Mar'!A20</f>
        <v>12104</v>
      </c>
      <c r="B20" s="32" t="str">
        <f>+'Access-Mar'!B20</f>
        <v>TRIBUNAL REGIONAL FEDERAL DA 3A. REGIAO</v>
      </c>
      <c r="C20" s="31" t="str">
        <f>CONCATENATE('Access-Mar'!C20,".",'Access-Mar'!D20)</f>
        <v>02.126</v>
      </c>
      <c r="D20" s="31" t="str">
        <f>CONCATENATE('Access-Mar'!E20,".",'Access-Mar'!G20)</f>
        <v>0569.151W</v>
      </c>
      <c r="E20" s="32" t="str">
        <f>+'Access-Mar'!F20</f>
        <v>PRESTACAO JURISDICIONAL NA JUSTICA FEDERAL</v>
      </c>
      <c r="F20" s="32" t="str">
        <f>+'Access-Mar'!H20</f>
        <v>DESENVOLVIMENTO E IMPLANTACAO DO SISTEMA PROCESSO JUDICIAL E</v>
      </c>
      <c r="G20" s="31" t="str">
        <f>IF('Access-Mar'!I20="1","F","S")</f>
        <v>F</v>
      </c>
      <c r="H20" s="31" t="str">
        <f>+'Access-Mar'!J20</f>
        <v>0100</v>
      </c>
      <c r="I20" s="32" t="str">
        <f>+'Access-Mar'!K20</f>
        <v>RECURSOS ORDINARIOS</v>
      </c>
      <c r="J20" s="31" t="str">
        <f>+'Access-Mar'!L20</f>
        <v>3</v>
      </c>
      <c r="K20" s="50"/>
      <c r="L20" s="50"/>
      <c r="M20" s="50"/>
      <c r="N20" s="50">
        <f t="shared" si="0"/>
        <v>0</v>
      </c>
      <c r="O20" s="50"/>
      <c r="P20" s="34">
        <f>'Access-Mar'!M20</f>
        <v>603773</v>
      </c>
      <c r="Q20" s="34"/>
      <c r="R20" s="34">
        <f t="shared" si="1"/>
        <v>603773</v>
      </c>
      <c r="S20" s="39">
        <f>'Access-Mar'!N20</f>
        <v>594734</v>
      </c>
      <c r="T20" s="35">
        <f t="shared" si="2"/>
        <v>0.98502914174698109</v>
      </c>
      <c r="U20" s="34">
        <f>'Access-Mar'!O20</f>
        <v>12573.04</v>
      </c>
      <c r="V20" s="35">
        <f t="shared" si="3"/>
        <v>2.0824117673363996E-2</v>
      </c>
      <c r="W20" s="34">
        <f>'Access-Mar'!P20</f>
        <v>12573.04</v>
      </c>
      <c r="X20" s="35">
        <f t="shared" si="4"/>
        <v>2.0824117673363996E-2</v>
      </c>
    </row>
    <row r="21" spans="1:24" ht="25.5" customHeight="1" x14ac:dyDescent="0.2">
      <c r="A21" s="31" t="str">
        <f>+'Access-Mar'!A21</f>
        <v>12104</v>
      </c>
      <c r="B21" s="32" t="str">
        <f>+'Access-Mar'!B21</f>
        <v>TRIBUNAL REGIONAL FEDERAL DA 3A. REGIAO</v>
      </c>
      <c r="C21" s="31" t="str">
        <f>CONCATENATE('Access-Mar'!C21,".",'Access-Mar'!D21)</f>
        <v>02.131</v>
      </c>
      <c r="D21" s="31" t="str">
        <f>CONCATENATE('Access-Mar'!E21,".",'Access-Mar'!G21)</f>
        <v>0569.2549</v>
      </c>
      <c r="E21" s="32" t="str">
        <f>+'Access-Mar'!F21</f>
        <v>PRESTACAO JURISDICIONAL NA JUSTICA FEDERAL</v>
      </c>
      <c r="F21" s="32" t="str">
        <f>+'Access-Mar'!H21</f>
        <v>COMUNICACAO E DIVULGACAO INSTITUCIONAL</v>
      </c>
      <c r="G21" s="31" t="str">
        <f>IF('Access-Mar'!I21="1","F","S")</f>
        <v>F</v>
      </c>
      <c r="H21" s="31" t="str">
        <f>+'Access-Mar'!J21</f>
        <v>0100</v>
      </c>
      <c r="I21" s="32" t="str">
        <f>+'Access-Mar'!K21</f>
        <v>RECURSOS ORDINARIOS</v>
      </c>
      <c r="J21" s="31" t="str">
        <f>+'Access-Mar'!L21</f>
        <v>3</v>
      </c>
      <c r="K21" s="50"/>
      <c r="L21" s="50"/>
      <c r="M21" s="50"/>
      <c r="N21" s="50">
        <f t="shared" si="0"/>
        <v>0</v>
      </c>
      <c r="O21" s="50"/>
      <c r="P21" s="34">
        <f>'Access-Mar'!M21</f>
        <v>560609</v>
      </c>
      <c r="Q21" s="34"/>
      <c r="R21" s="34">
        <f t="shared" si="1"/>
        <v>560609</v>
      </c>
      <c r="S21" s="39">
        <f>'Access-Mar'!N21</f>
        <v>483456.48</v>
      </c>
      <c r="T21" s="35">
        <f t="shared" si="2"/>
        <v>0.86237730753519826</v>
      </c>
      <c r="U21" s="34">
        <f>'Access-Mar'!O21</f>
        <v>83525.42</v>
      </c>
      <c r="V21" s="35">
        <f t="shared" si="3"/>
        <v>0.14899050853625254</v>
      </c>
      <c r="W21" s="34">
        <f>'Access-Mar'!P21</f>
        <v>41762.71</v>
      </c>
      <c r="X21" s="35">
        <f t="shared" si="4"/>
        <v>7.4495254268126268E-2</v>
      </c>
    </row>
    <row r="22" spans="1:24" ht="25.5" customHeight="1" x14ac:dyDescent="0.2">
      <c r="A22" s="31" t="str">
        <f>+'Access-Mar'!A22</f>
        <v>12104</v>
      </c>
      <c r="B22" s="32" t="str">
        <f>+'Access-Mar'!B22</f>
        <v>TRIBUNAL REGIONAL FEDERAL DA 3A. REGIAO</v>
      </c>
      <c r="C22" s="31" t="str">
        <f>CONCATENATE('Access-Mar'!C22,".",'Access-Mar'!D22)</f>
        <v>02.301</v>
      </c>
      <c r="D22" s="31" t="str">
        <f>CONCATENATE('Access-Mar'!E22,".",'Access-Mar'!G22)</f>
        <v>0569.2004</v>
      </c>
      <c r="E22" s="32" t="str">
        <f>+'Access-Mar'!F22</f>
        <v>PRESTACAO JURISDICIONAL NA JUSTICA FEDERAL</v>
      </c>
      <c r="F22" s="32" t="str">
        <f>+'Access-Mar'!H22</f>
        <v>ASSISTENCIA MEDICA E ODONTOLOGICA AOS SERVIDORES CIVIS, EMPR</v>
      </c>
      <c r="G22" s="31" t="str">
        <f>IF('Access-Mar'!I22="1","F","S")</f>
        <v>S</v>
      </c>
      <c r="H22" s="31" t="str">
        <f>+'Access-Mar'!J22</f>
        <v>0100</v>
      </c>
      <c r="I22" s="32" t="str">
        <f>+'Access-Mar'!K22</f>
        <v>RECURSOS ORDINARIOS</v>
      </c>
      <c r="J22" s="31" t="str">
        <f>+'Access-Mar'!L22</f>
        <v>4</v>
      </c>
      <c r="K22" s="50"/>
      <c r="L22" s="50"/>
      <c r="M22" s="50"/>
      <c r="N22" s="50">
        <f t="shared" si="0"/>
        <v>0</v>
      </c>
      <c r="O22" s="50"/>
      <c r="P22" s="34">
        <f>'Access-Mar'!M22</f>
        <v>15000</v>
      </c>
      <c r="Q22" s="34"/>
      <c r="R22" s="34">
        <f t="shared" si="1"/>
        <v>15000</v>
      </c>
      <c r="S22" s="39">
        <f>'Access-Mar'!N22</f>
        <v>0</v>
      </c>
      <c r="T22" s="35">
        <f t="shared" si="2"/>
        <v>0</v>
      </c>
      <c r="U22" s="34">
        <f>'Access-Mar'!O22</f>
        <v>0</v>
      </c>
      <c r="V22" s="35">
        <f t="shared" si="3"/>
        <v>0</v>
      </c>
      <c r="W22" s="34">
        <f>'Access-Mar'!P22</f>
        <v>0</v>
      </c>
      <c r="X22" s="35">
        <f t="shared" si="4"/>
        <v>0</v>
      </c>
    </row>
    <row r="23" spans="1:24" ht="25.5" customHeight="1" x14ac:dyDescent="0.2">
      <c r="A23" s="31" t="str">
        <f>+'Access-Mar'!A23</f>
        <v>12104</v>
      </c>
      <c r="B23" s="32" t="str">
        <f>+'Access-Mar'!B23</f>
        <v>TRIBUNAL REGIONAL FEDERAL DA 3A. REGIAO</v>
      </c>
      <c r="C23" s="31" t="str">
        <f>CONCATENATE('Access-Mar'!C23,".",'Access-Mar'!D23)</f>
        <v>02.301</v>
      </c>
      <c r="D23" s="31" t="str">
        <f>CONCATENATE('Access-Mar'!E23,".",'Access-Mar'!G23)</f>
        <v>0569.2004</v>
      </c>
      <c r="E23" s="32" t="str">
        <f>+'Access-Mar'!F23</f>
        <v>PRESTACAO JURISDICIONAL NA JUSTICA FEDERAL</v>
      </c>
      <c r="F23" s="32" t="str">
        <f>+'Access-Mar'!H23</f>
        <v>ASSISTENCIA MEDICA E ODONTOLOGICA AOS SERVIDORES CIVIS, EMPR</v>
      </c>
      <c r="G23" s="31" t="str">
        <f>IF('Access-Mar'!I23="1","F","S")</f>
        <v>S</v>
      </c>
      <c r="H23" s="31" t="str">
        <f>+'Access-Mar'!J23</f>
        <v>0100</v>
      </c>
      <c r="I23" s="32" t="str">
        <f>+'Access-Mar'!K23</f>
        <v>RECURSOS ORDINARIOS</v>
      </c>
      <c r="J23" s="31" t="str">
        <f>+'Access-Mar'!L23</f>
        <v>3</v>
      </c>
      <c r="K23" s="50"/>
      <c r="L23" s="50"/>
      <c r="M23" s="50"/>
      <c r="N23" s="50">
        <f t="shared" si="0"/>
        <v>0</v>
      </c>
      <c r="O23" s="50"/>
      <c r="P23" s="34">
        <f>'Access-Mar'!M23</f>
        <v>12111000</v>
      </c>
      <c r="Q23" s="34"/>
      <c r="R23" s="34">
        <f t="shared" si="1"/>
        <v>12111000</v>
      </c>
      <c r="S23" s="39">
        <f>'Access-Mar'!N23</f>
        <v>7893400</v>
      </c>
      <c r="T23" s="35">
        <f t="shared" si="2"/>
        <v>0.65175460325324086</v>
      </c>
      <c r="U23" s="34">
        <f>'Access-Mar'!O23</f>
        <v>2078386.21</v>
      </c>
      <c r="V23" s="35">
        <f t="shared" si="3"/>
        <v>0.17161144496738501</v>
      </c>
      <c r="W23" s="34">
        <f>'Access-Mar'!P23</f>
        <v>2078386.21</v>
      </c>
      <c r="X23" s="35">
        <f t="shared" si="4"/>
        <v>0.17161144496738501</v>
      </c>
    </row>
    <row r="24" spans="1:24" ht="25.5" customHeight="1" x14ac:dyDescent="0.2">
      <c r="A24" s="31" t="str">
        <f>+'Access-Mar'!A24</f>
        <v>12104</v>
      </c>
      <c r="B24" s="32" t="str">
        <f>+'Access-Mar'!B24</f>
        <v>TRIBUNAL REGIONAL FEDERAL DA 3A. REGIAO</v>
      </c>
      <c r="C24" s="31" t="str">
        <f>CONCATENATE('Access-Mar'!C24,".",'Access-Mar'!D24)</f>
        <v>02.331</v>
      </c>
      <c r="D24" s="31" t="str">
        <f>CONCATENATE('Access-Mar'!E24,".",'Access-Mar'!G24)</f>
        <v>0569.212B</v>
      </c>
      <c r="E24" s="32" t="str">
        <f>+'Access-Mar'!F24</f>
        <v>PRESTACAO JURISDICIONAL NA JUSTICA FEDERAL</v>
      </c>
      <c r="F24" s="32" t="str">
        <f>+'Access-Mar'!H24</f>
        <v>BENEFICIOS OBRIGATORIOS AOS SERVIDORES CIVIS, EMPREGADOS, MI</v>
      </c>
      <c r="G24" s="31" t="str">
        <f>IF('Access-Mar'!I24="1","F","S")</f>
        <v>F</v>
      </c>
      <c r="H24" s="31" t="str">
        <f>+'Access-Mar'!J24</f>
        <v>0100</v>
      </c>
      <c r="I24" s="32" t="str">
        <f>+'Access-Mar'!K24</f>
        <v>RECURSOS ORDINARIOS</v>
      </c>
      <c r="J24" s="31" t="str">
        <f>+'Access-Mar'!L24</f>
        <v>3</v>
      </c>
      <c r="K24" s="50"/>
      <c r="L24" s="50"/>
      <c r="M24" s="50"/>
      <c r="N24" s="50">
        <f t="shared" si="0"/>
        <v>0</v>
      </c>
      <c r="O24" s="50"/>
      <c r="P24" s="34">
        <f>'Access-Mar'!M24</f>
        <v>22989016.420000002</v>
      </c>
      <c r="Q24" s="34"/>
      <c r="R24" s="34">
        <f t="shared" si="1"/>
        <v>22989016.420000002</v>
      </c>
      <c r="S24" s="39">
        <f>'Access-Mar'!N24</f>
        <v>22989016.420000002</v>
      </c>
      <c r="T24" s="35">
        <f t="shared" si="2"/>
        <v>1</v>
      </c>
      <c r="U24" s="34">
        <f>'Access-Mar'!O24</f>
        <v>5623016.6500000004</v>
      </c>
      <c r="V24" s="35">
        <f t="shared" si="3"/>
        <v>0.24459579075806323</v>
      </c>
      <c r="W24" s="34">
        <f>'Access-Mar'!P24</f>
        <v>5623016.6500000004</v>
      </c>
      <c r="X24" s="35">
        <f t="shared" si="4"/>
        <v>0.24459579075806323</v>
      </c>
    </row>
    <row r="25" spans="1:24" ht="25.5" customHeight="1" x14ac:dyDescent="0.2">
      <c r="A25" s="31" t="str">
        <f>+'Access-Mar'!A25</f>
        <v>12104</v>
      </c>
      <c r="B25" s="32" t="str">
        <f>+'Access-Mar'!B25</f>
        <v>TRIBUNAL REGIONAL FEDERAL DA 3A. REGIAO</v>
      </c>
      <c r="C25" s="31" t="str">
        <f>CONCATENATE('Access-Mar'!C25,".",'Access-Mar'!D25)</f>
        <v>02.846</v>
      </c>
      <c r="D25" s="31" t="str">
        <f>CONCATENATE('Access-Mar'!E25,".",'Access-Mar'!G25)</f>
        <v>0569.09HB</v>
      </c>
      <c r="E25" s="32" t="str">
        <f>+'Access-Mar'!F25</f>
        <v>PRESTACAO JURISDICIONAL NA JUSTICA FEDERAL</v>
      </c>
      <c r="F25" s="32" t="str">
        <f>+'Access-Mar'!H25</f>
        <v>CONTRIBUICAO DA UNIAO, DE SUAS AUTARQUIAS E FUNDACOES PARA O</v>
      </c>
      <c r="G25" s="31" t="str">
        <f>IF('Access-Mar'!I25="1","F","S")</f>
        <v>F</v>
      </c>
      <c r="H25" s="31" t="str">
        <f>+'Access-Mar'!J25</f>
        <v>0100</v>
      </c>
      <c r="I25" s="32" t="str">
        <f>+'Access-Mar'!K25</f>
        <v>RECURSOS ORDINARIOS</v>
      </c>
      <c r="J25" s="31" t="str">
        <f>+'Access-Mar'!L25</f>
        <v>1</v>
      </c>
      <c r="K25" s="50"/>
      <c r="L25" s="50"/>
      <c r="M25" s="50"/>
      <c r="N25" s="50">
        <f t="shared" si="0"/>
        <v>0</v>
      </c>
      <c r="O25" s="50"/>
      <c r="P25" s="34">
        <f>'Access-Mar'!M25</f>
        <v>15961796.939999999</v>
      </c>
      <c r="Q25" s="34"/>
      <c r="R25" s="34">
        <f t="shared" si="1"/>
        <v>15961796.939999999</v>
      </c>
      <c r="S25" s="39">
        <f>'Access-Mar'!N25</f>
        <v>15961796.939999999</v>
      </c>
      <c r="T25" s="35">
        <f t="shared" si="2"/>
        <v>1</v>
      </c>
      <c r="U25" s="34">
        <f>'Access-Mar'!O25</f>
        <v>15961796.939999999</v>
      </c>
      <c r="V25" s="35">
        <f t="shared" si="3"/>
        <v>1</v>
      </c>
      <c r="W25" s="34">
        <f>'Access-Mar'!P25</f>
        <v>15961796.939999999</v>
      </c>
      <c r="X25" s="35">
        <f t="shared" si="4"/>
        <v>1</v>
      </c>
    </row>
    <row r="26" spans="1:24" ht="25.5" customHeight="1" x14ac:dyDescent="0.2">
      <c r="A26" s="31" t="str">
        <f>+'Access-Mar'!A26</f>
        <v>12104</v>
      </c>
      <c r="B26" s="32" t="str">
        <f>+'Access-Mar'!B26</f>
        <v>TRIBUNAL REGIONAL FEDERAL DA 3A. REGIAO</v>
      </c>
      <c r="C26" s="31" t="str">
        <f>CONCATENATE('Access-Mar'!C26,".",'Access-Mar'!D26)</f>
        <v>09.272</v>
      </c>
      <c r="D26" s="31" t="str">
        <f>CONCATENATE('Access-Mar'!E26,".",'Access-Mar'!G26)</f>
        <v>0089.0181</v>
      </c>
      <c r="E26" s="32" t="str">
        <f>+'Access-Mar'!F26</f>
        <v>PREVIDENCIA DE INATIVOS E PENSIONISTAS DA UNIAO</v>
      </c>
      <c r="F26" s="32" t="str">
        <f>+'Access-Mar'!H26</f>
        <v>APOSENTADORIAS E PENSOES CIVIS DA UNIAO</v>
      </c>
      <c r="G26" s="31" t="str">
        <f>IF('Access-Mar'!I26="1","F","S")</f>
        <v>S</v>
      </c>
      <c r="H26" s="31" t="str">
        <f>+'Access-Mar'!J26</f>
        <v>0169</v>
      </c>
      <c r="I26" s="32" t="str">
        <f>+'Access-Mar'!K26</f>
        <v>CONTRIB.PATRONAL P/PLANO DE SEGURID.SOC.SERV.</v>
      </c>
      <c r="J26" s="31" t="str">
        <f>+'Access-Mar'!L26</f>
        <v>1</v>
      </c>
      <c r="K26" s="50"/>
      <c r="L26" s="50"/>
      <c r="M26" s="50"/>
      <c r="N26" s="50">
        <f t="shared" si="0"/>
        <v>0</v>
      </c>
      <c r="O26" s="50"/>
      <c r="P26" s="34">
        <f>'Access-Mar'!M26</f>
        <v>30150993.66</v>
      </c>
      <c r="Q26" s="34"/>
      <c r="R26" s="34">
        <f t="shared" si="1"/>
        <v>30150993.66</v>
      </c>
      <c r="S26" s="39">
        <f>'Access-Mar'!N26</f>
        <v>30150993.66</v>
      </c>
      <c r="T26" s="35">
        <f t="shared" si="2"/>
        <v>1</v>
      </c>
      <c r="U26" s="34">
        <f>'Access-Mar'!O26</f>
        <v>30150993.66</v>
      </c>
      <c r="V26" s="35">
        <f t="shared" si="3"/>
        <v>1</v>
      </c>
      <c r="W26" s="34">
        <f>'Access-Mar'!P26</f>
        <v>29644089.16</v>
      </c>
      <c r="X26" s="35">
        <f t="shared" si="4"/>
        <v>0.98318780118107718</v>
      </c>
    </row>
    <row r="27" spans="1:24" ht="25.5" customHeight="1" thickBot="1" x14ac:dyDescent="0.25">
      <c r="A27" s="31" t="str">
        <f>+'Access-Mar'!A27</f>
        <v>12104</v>
      </c>
      <c r="B27" s="32" t="str">
        <f>+'Access-Mar'!B27</f>
        <v>TRIBUNAL REGIONAL FEDERAL DA 3A. REGIAO</v>
      </c>
      <c r="C27" s="31" t="str">
        <f>CONCATENATE('Access-Mar'!C27,".",'Access-Mar'!D27)</f>
        <v>28.846</v>
      </c>
      <c r="D27" s="31" t="str">
        <f>CONCATENATE('Access-Mar'!E27,".",'Access-Mar'!G27)</f>
        <v>0909.0536</v>
      </c>
      <c r="E27" s="32" t="str">
        <f>+'Access-Mar'!F27</f>
        <v>OPERACOES ESPECIAIS: OUTROS ENCARGOS ESPECIAIS</v>
      </c>
      <c r="F27" s="32" t="str">
        <f>+'Access-Mar'!H27</f>
        <v>BENEFICIOS E PENSOES INDENIZATORIAS DECORRENTES DE LEGISLACA</v>
      </c>
      <c r="G27" s="31" t="str">
        <f>IF('Access-Mar'!I27="1","F","S")</f>
        <v>S</v>
      </c>
      <c r="H27" s="31" t="str">
        <f>+'Access-Mar'!J27</f>
        <v>0100</v>
      </c>
      <c r="I27" s="32" t="str">
        <f>+'Access-Mar'!K27</f>
        <v>RECURSOS ORDINARIOS</v>
      </c>
      <c r="J27" s="31" t="str">
        <f>+'Access-Mar'!L27</f>
        <v>3</v>
      </c>
      <c r="K27" s="50"/>
      <c r="L27" s="50"/>
      <c r="M27" s="50"/>
      <c r="N27" s="50">
        <f t="shared" si="0"/>
        <v>0</v>
      </c>
      <c r="O27" s="50"/>
      <c r="P27" s="34">
        <f>'Access-Mar'!M27</f>
        <v>18684</v>
      </c>
      <c r="Q27" s="34"/>
      <c r="R27" s="34">
        <f t="shared" si="1"/>
        <v>18684</v>
      </c>
      <c r="S27" s="39">
        <f>'Access-Mar'!N27</f>
        <v>18684</v>
      </c>
      <c r="T27" s="35">
        <f t="shared" si="2"/>
        <v>1</v>
      </c>
      <c r="U27" s="34">
        <f>'Access-Mar'!O27</f>
        <v>4452.6400000000003</v>
      </c>
      <c r="V27" s="35">
        <f t="shared" si="3"/>
        <v>0.23831299507600087</v>
      </c>
      <c r="W27" s="34">
        <f>'Access-Mar'!P27</f>
        <v>4452.6400000000003</v>
      </c>
      <c r="X27" s="35">
        <f t="shared" si="4"/>
        <v>0.23831299507600087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267390436.35999998</v>
      </c>
      <c r="Q28" s="52">
        <f>SUM(Q10:Q27)</f>
        <v>0</v>
      </c>
      <c r="R28" s="52">
        <f>SUM(R10:R27)</f>
        <v>267390436.35999998</v>
      </c>
      <c r="S28" s="52">
        <f>SUM(S10:S27)</f>
        <v>227837070.20999995</v>
      </c>
      <c r="T28" s="43">
        <f t="shared" si="2"/>
        <v>0.85207636186079772</v>
      </c>
      <c r="U28" s="52">
        <f>SUM(U10:U27)</f>
        <v>167859736.16</v>
      </c>
      <c r="V28" s="43">
        <f t="shared" si="3"/>
        <v>0.62777015679798942</v>
      </c>
      <c r="W28" s="52">
        <f>SUM(W10:W27)</f>
        <v>163862576.63</v>
      </c>
      <c r="X28" s="43">
        <f t="shared" si="4"/>
        <v>0.61282138157471089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5" t="s">
        <v>16</v>
      </c>
      <c r="O31" s="75"/>
      <c r="P31" s="54">
        <f>SUM(P10:P27)</f>
        <v>267390436.35999998</v>
      </c>
      <c r="Q31" s="54"/>
      <c r="R31" s="54">
        <f>SUM(R10:R27)</f>
        <v>267390436.35999998</v>
      </c>
      <c r="S31" s="54">
        <f>SUM(S10:S27)</f>
        <v>227837070.20999995</v>
      </c>
      <c r="T31" s="54"/>
      <c r="U31" s="54">
        <f>SUM(U10:U27)</f>
        <v>167859736.16</v>
      </c>
      <c r="V31" s="54"/>
      <c r="W31" s="54">
        <f>SUM(W10:W27)</f>
        <v>163862576.63</v>
      </c>
    </row>
    <row r="32" spans="1:24" ht="25.5" customHeight="1" x14ac:dyDescent="0.2">
      <c r="N32" s="75" t="s">
        <v>132</v>
      </c>
      <c r="O32" s="75"/>
      <c r="P32" s="37">
        <f>'Access-Mar'!M35</f>
        <v>267390436.35999998</v>
      </c>
      <c r="Q32" s="37"/>
      <c r="R32" s="37">
        <f>'Access-Mar'!M35</f>
        <v>267390436.35999998</v>
      </c>
      <c r="S32" s="37">
        <f>'Access-Mar'!N35</f>
        <v>227837070.20999995</v>
      </c>
      <c r="T32" s="37"/>
      <c r="U32" s="37">
        <f>'Access-Mar'!O35</f>
        <v>167859736.16</v>
      </c>
      <c r="V32" s="37"/>
      <c r="W32" s="37">
        <f>'Access-Mar'!P35</f>
        <v>163862576.63</v>
      </c>
    </row>
    <row r="33" spans="14:23" ht="25.5" customHeight="1" x14ac:dyDescent="0.2">
      <c r="N33" s="75" t="s">
        <v>17</v>
      </c>
      <c r="O33" s="75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145</v>
      </c>
      <c r="P35" s="67">
        <f>266725122.36+665314</f>
        <v>267390436.36000001</v>
      </c>
      <c r="R35" s="67">
        <v>267390436.36000001</v>
      </c>
      <c r="S35" s="1">
        <f>227176234.4+660835.81</f>
        <v>227837070.21000001</v>
      </c>
      <c r="U35" s="1">
        <f>167616875.12+242861.04</f>
        <v>167859736.16</v>
      </c>
      <c r="W35" s="1">
        <f>163619715.59+242861.04</f>
        <v>163862576.63</v>
      </c>
    </row>
    <row r="36" spans="14:23" ht="25.5" customHeight="1" x14ac:dyDescent="0.2">
      <c r="N36" s="75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  <mergeCell ref="A28:J2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view="pageBreakPreview" topLeftCell="G16" zoomScaleNormal="100" zoomScaleSheetLayoutView="10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43191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+'Access-Abr'!A10</f>
        <v>12104</v>
      </c>
      <c r="B10" s="25" t="str">
        <f>+'Access-Abr'!B10</f>
        <v>TRIBUNAL REGIONAL FEDERAL DA 3A. REGIAO</v>
      </c>
      <c r="C10" s="26" t="str">
        <f>CONCATENATE('Access-Abr'!C10,".",'Access-Abr'!D10)</f>
        <v>02.061</v>
      </c>
      <c r="D10" s="26" t="str">
        <f>CONCATENATE('Access-Abr'!E10,".",'Access-Abr'!G10)</f>
        <v>0569.4224</v>
      </c>
      <c r="E10" s="25" t="str">
        <f>+'Access-Abr'!F10</f>
        <v>PRESTACAO JURISDICIONAL NA JUSTICA FEDERAL</v>
      </c>
      <c r="F10" s="27" t="str">
        <f>+'Access-Abr'!H10</f>
        <v>ASSISTENCIA JURIDICA A PESSOAS CARENTES</v>
      </c>
      <c r="G10" s="24" t="str">
        <f>IF('Access-Abr'!I10="1","F","S")</f>
        <v>F</v>
      </c>
      <c r="H10" s="24" t="str">
        <f>+'Access-Abr'!J10</f>
        <v>0100</v>
      </c>
      <c r="I10" s="28" t="str">
        <f>+'Access-Abr'!K10</f>
        <v>RECURSOS ORDINARIOS</v>
      </c>
      <c r="J10" s="24" t="str">
        <f>+'Access-Abr'!L10</f>
        <v>3</v>
      </c>
      <c r="K10" s="47"/>
      <c r="L10" s="48"/>
      <c r="M10" s="48"/>
      <c r="N10" s="49">
        <f>+K10+L10-M10</f>
        <v>0</v>
      </c>
      <c r="O10" s="47"/>
      <c r="P10" s="29">
        <f>'Access-Abr'!M10</f>
        <v>15000</v>
      </c>
      <c r="Q10" s="29"/>
      <c r="R10" s="29">
        <f>N10-O10+P10</f>
        <v>15000</v>
      </c>
      <c r="S10" s="55">
        <f>'Access-Abr'!N10</f>
        <v>15000</v>
      </c>
      <c r="T10" s="44">
        <f>IF(R10&gt;0,S10/R10,0)</f>
        <v>1</v>
      </c>
      <c r="U10" s="29">
        <f>'Access-Abr'!O10</f>
        <v>0</v>
      </c>
      <c r="V10" s="30">
        <f>IF(R10&gt;0,U10/R10,0)</f>
        <v>0</v>
      </c>
      <c r="W10" s="29">
        <f>'Access-Abr'!P10</f>
        <v>0</v>
      </c>
      <c r="X10" s="30">
        <f>IF(R10&gt;0,W10/R10,0)</f>
        <v>0</v>
      </c>
    </row>
    <row r="11" spans="1:24" ht="25.5" customHeight="1" x14ac:dyDescent="0.2">
      <c r="A11" s="31" t="str">
        <f>+'Access-Abr'!A11</f>
        <v>12104</v>
      </c>
      <c r="B11" s="32" t="str">
        <f>+'Access-Abr'!B11</f>
        <v>TRIBUNAL REGIONAL FEDERAL DA 3A. REGIAO</v>
      </c>
      <c r="C11" s="31" t="str">
        <f>CONCATENATE('Access-Abr'!C11,".",'Access-Abr'!D11)</f>
        <v>02.061</v>
      </c>
      <c r="D11" s="31" t="str">
        <f>CONCATENATE('Access-Abr'!E11,".",'Access-Abr'!G11)</f>
        <v>0569.4257</v>
      </c>
      <c r="E11" s="32" t="str">
        <f>+'Access-Abr'!F11</f>
        <v>PRESTACAO JURISDICIONAL NA JUSTICA FEDERAL</v>
      </c>
      <c r="F11" s="33" t="str">
        <f>+'Access-Abr'!H11</f>
        <v>JULGAMENTO DE CAUSAS NA JUSTICA FEDERAL</v>
      </c>
      <c r="G11" s="31" t="str">
        <f>IF('Access-Abr'!I11="1","F","S")</f>
        <v>F</v>
      </c>
      <c r="H11" s="31" t="str">
        <f>+'Access-Abr'!J11</f>
        <v>0100</v>
      </c>
      <c r="I11" s="32" t="str">
        <f>+'Access-Abr'!K11</f>
        <v>RECURSOS ORDINARIOS</v>
      </c>
      <c r="J11" s="31" t="str">
        <f>+'Access-Abr'!L11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'Access-Abr'!M11</f>
        <v>2749136</v>
      </c>
      <c r="Q11" s="34"/>
      <c r="R11" s="34">
        <f t="shared" ref="R11:R27" si="1">N11-O11+P11</f>
        <v>2749136</v>
      </c>
      <c r="S11" s="39">
        <f>'Access-Abr'!N11</f>
        <v>0</v>
      </c>
      <c r="T11" s="35">
        <f t="shared" ref="T11:T28" si="2">IF(R11&gt;0,S11/R11,0)</f>
        <v>0</v>
      </c>
      <c r="U11" s="34">
        <f>'Access-Abr'!O11</f>
        <v>0</v>
      </c>
      <c r="V11" s="35">
        <f t="shared" ref="V11:V28" si="3">IF(R11&gt;0,U11/R11,0)</f>
        <v>0</v>
      </c>
      <c r="W11" s="34">
        <f>'Access-Abr'!P11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+'Access-Abr'!A12</f>
        <v>12104</v>
      </c>
      <c r="B12" s="32" t="str">
        <f>+'Access-Abr'!B12</f>
        <v>TRIBUNAL REGIONAL FEDERAL DA 3A. REGIAO</v>
      </c>
      <c r="C12" s="31" t="str">
        <f>CONCATENATE('Access-Abr'!C12,".",'Access-Abr'!D12)</f>
        <v>02.061</v>
      </c>
      <c r="D12" s="31" t="str">
        <f>CONCATENATE('Access-Abr'!E12,".",'Access-Abr'!G12)</f>
        <v>0569.4257</v>
      </c>
      <c r="E12" s="32" t="str">
        <f>+'Access-Abr'!F12</f>
        <v>PRESTACAO JURISDICIONAL NA JUSTICA FEDERAL</v>
      </c>
      <c r="F12" s="32" t="str">
        <f>+'Access-Abr'!H12</f>
        <v>JULGAMENTO DE CAUSAS NA JUSTICA FEDERAL</v>
      </c>
      <c r="G12" s="31" t="str">
        <f>IF('Access-Abr'!I12="1","F","S")</f>
        <v>F</v>
      </c>
      <c r="H12" s="31" t="str">
        <f>+'Access-Abr'!J12</f>
        <v>0100</v>
      </c>
      <c r="I12" s="32" t="str">
        <f>+'Access-Abr'!K12</f>
        <v>RECURSOS ORDINARIOS</v>
      </c>
      <c r="J12" s="31" t="str">
        <f>+'Access-Abr'!L12</f>
        <v>3</v>
      </c>
      <c r="K12" s="34"/>
      <c r="L12" s="34"/>
      <c r="M12" s="34"/>
      <c r="N12" s="50">
        <f t="shared" si="0"/>
        <v>0</v>
      </c>
      <c r="O12" s="34"/>
      <c r="P12" s="34">
        <f>'Access-Abr'!M12</f>
        <v>53175037.859999999</v>
      </c>
      <c r="Q12" s="34"/>
      <c r="R12" s="34">
        <f t="shared" si="1"/>
        <v>53175037.859999999</v>
      </c>
      <c r="S12" s="39">
        <f>'Access-Abr'!N12</f>
        <v>36569164.75</v>
      </c>
      <c r="T12" s="35">
        <f t="shared" si="2"/>
        <v>0.6877129988375339</v>
      </c>
      <c r="U12" s="34">
        <f>'Access-Abr'!O12</f>
        <v>9802637.6400000006</v>
      </c>
      <c r="V12" s="35">
        <f t="shared" si="3"/>
        <v>0.18434660386718529</v>
      </c>
      <c r="W12" s="34">
        <f>'Access-Abr'!P12</f>
        <v>8199051.0999999996</v>
      </c>
      <c r="X12" s="35">
        <f t="shared" si="4"/>
        <v>0.15418984978603267</v>
      </c>
    </row>
    <row r="13" spans="1:24" ht="25.5" customHeight="1" x14ac:dyDescent="0.2">
      <c r="A13" s="31" t="str">
        <f>+'Access-Abr'!A13</f>
        <v>12104</v>
      </c>
      <c r="B13" s="32" t="str">
        <f>+'Access-Abr'!B13</f>
        <v>TRIBUNAL REGIONAL FEDERAL DA 3A. REGIAO</v>
      </c>
      <c r="C13" s="31" t="str">
        <f>CONCATENATE('Access-Abr'!C13,".",'Access-Abr'!D13)</f>
        <v>02.061</v>
      </c>
      <c r="D13" s="31" t="str">
        <f>CONCATENATE('Access-Abr'!E13,".",'Access-Abr'!G13)</f>
        <v>0569.4257</v>
      </c>
      <c r="E13" s="32" t="str">
        <f>+'Access-Abr'!F13</f>
        <v>PRESTACAO JURISDICIONAL NA JUSTICA FEDERAL</v>
      </c>
      <c r="F13" s="32" t="str">
        <f>+'Access-Abr'!H13</f>
        <v>JULGAMENTO DE CAUSAS NA JUSTICA FEDERAL</v>
      </c>
      <c r="G13" s="31" t="str">
        <f>IF('Access-Abr'!I13="1","F","S")</f>
        <v>F</v>
      </c>
      <c r="H13" s="31" t="str">
        <f>+'Access-Abr'!J13</f>
        <v>0127</v>
      </c>
      <c r="I13" s="32" t="str">
        <f>+'Access-Abr'!K13</f>
        <v>CUSTAS E EMOLUMENTOS - PODER JUDICIARIO</v>
      </c>
      <c r="J13" s="31" t="str">
        <f>+'Access-Abr'!L13</f>
        <v>3</v>
      </c>
      <c r="K13" s="34"/>
      <c r="L13" s="34"/>
      <c r="M13" s="34"/>
      <c r="N13" s="50">
        <f t="shared" si="0"/>
        <v>0</v>
      </c>
      <c r="O13" s="34"/>
      <c r="P13" s="34">
        <f>'Access-Abr'!M13</f>
        <v>7243081</v>
      </c>
      <c r="Q13" s="34"/>
      <c r="R13" s="34">
        <f t="shared" si="1"/>
        <v>7243081</v>
      </c>
      <c r="S13" s="39">
        <f>'Access-Abr'!N13</f>
        <v>7159159.6799999997</v>
      </c>
      <c r="T13" s="35">
        <f t="shared" si="2"/>
        <v>0.98841358808495994</v>
      </c>
      <c r="U13" s="34">
        <f>'Access-Abr'!O13</f>
        <v>2270759.88</v>
      </c>
      <c r="V13" s="35">
        <f t="shared" si="3"/>
        <v>0.31350745352702808</v>
      </c>
      <c r="W13" s="34">
        <f>'Access-Abr'!P13</f>
        <v>1964488.02</v>
      </c>
      <c r="X13" s="35">
        <f t="shared" si="4"/>
        <v>0.2712227048130485</v>
      </c>
    </row>
    <row r="14" spans="1:24" ht="25.5" customHeight="1" x14ac:dyDescent="0.2">
      <c r="A14" s="31" t="str">
        <f>+'Access-Abr'!A14</f>
        <v>12104</v>
      </c>
      <c r="B14" s="32" t="str">
        <f>+'Access-Abr'!B14</f>
        <v>TRIBUNAL REGIONAL FEDERAL DA 3A. REGIAO</v>
      </c>
      <c r="C14" s="31" t="str">
        <f>CONCATENATE('Access-Abr'!C14,".",'Access-Abr'!D14)</f>
        <v>02.061</v>
      </c>
      <c r="D14" s="31" t="str">
        <f>CONCATENATE('Access-Abr'!E14,".",'Access-Abr'!G14)</f>
        <v>0569.4257</v>
      </c>
      <c r="E14" s="32" t="str">
        <f>+'Access-Abr'!F14</f>
        <v>PRESTACAO JURISDICIONAL NA JUSTICA FEDERAL</v>
      </c>
      <c r="F14" s="32" t="str">
        <f>+'Access-Abr'!H14</f>
        <v>JULGAMENTO DE CAUSAS NA JUSTICA FEDERAL</v>
      </c>
      <c r="G14" s="31" t="str">
        <f>IF('Access-Abr'!I14="1","F","S")</f>
        <v>F</v>
      </c>
      <c r="H14" s="31" t="str">
        <f>+'Access-Abr'!J14</f>
        <v>0181</v>
      </c>
      <c r="I14" s="32" t="str">
        <f>+'Access-Abr'!K14</f>
        <v>RECURSOS DE CONVENIOS</v>
      </c>
      <c r="J14" s="31" t="str">
        <f>+'Access-Abr'!L14</f>
        <v>4</v>
      </c>
      <c r="K14" s="34"/>
      <c r="L14" s="34"/>
      <c r="M14" s="34"/>
      <c r="N14" s="50">
        <f t="shared" si="0"/>
        <v>0</v>
      </c>
      <c r="O14" s="34"/>
      <c r="P14" s="34">
        <f>'Access-Abr'!M14</f>
        <v>3394236</v>
      </c>
      <c r="Q14" s="34"/>
      <c r="R14" s="34">
        <f t="shared" si="1"/>
        <v>3394236</v>
      </c>
      <c r="S14" s="39">
        <f>'Access-Abr'!N14</f>
        <v>0</v>
      </c>
      <c r="T14" s="35">
        <f t="shared" si="2"/>
        <v>0</v>
      </c>
      <c r="U14" s="34">
        <f>'Access-Abr'!O14</f>
        <v>0</v>
      </c>
      <c r="V14" s="35">
        <f t="shared" si="3"/>
        <v>0</v>
      </c>
      <c r="W14" s="34">
        <f>'Access-Abr'!P14</f>
        <v>0</v>
      </c>
      <c r="X14" s="35">
        <f t="shared" si="4"/>
        <v>0</v>
      </c>
    </row>
    <row r="15" spans="1:24" ht="25.5" customHeight="1" x14ac:dyDescent="0.2">
      <c r="A15" s="31" t="str">
        <f>+'Access-Abr'!A15</f>
        <v>12104</v>
      </c>
      <c r="B15" s="32" t="str">
        <f>+'Access-Abr'!B15</f>
        <v>TRIBUNAL REGIONAL FEDERAL DA 3A. REGIAO</v>
      </c>
      <c r="C15" s="31" t="str">
        <f>CONCATENATE('Access-Abr'!C15,".",'Access-Abr'!D15)</f>
        <v>02.122</v>
      </c>
      <c r="D15" s="31" t="str">
        <f>CONCATENATE('Access-Abr'!E15,".",'Access-Abr'!G15)</f>
        <v>0569.15NZ</v>
      </c>
      <c r="E15" s="32" t="str">
        <f>+'Access-Abr'!F15</f>
        <v>PRESTACAO JURISDICIONAL NA JUSTICA FEDERAL</v>
      </c>
      <c r="F15" s="32" t="str">
        <f>+'Access-Abr'!H15</f>
        <v>REFORMA DO EDIFICIO-SEDE DO TRIBUNAL REGIONAL FEDERAL DA 3.</v>
      </c>
      <c r="G15" s="31" t="str">
        <f>IF('Access-Abr'!I15="1","F","S")</f>
        <v>F</v>
      </c>
      <c r="H15" s="31" t="str">
        <f>+'Access-Abr'!J15</f>
        <v>0100</v>
      </c>
      <c r="I15" s="32" t="str">
        <f>+'Access-Abr'!K15</f>
        <v>RECURSOS ORDINARIOS</v>
      </c>
      <c r="J15" s="31" t="str">
        <f>+'Access-Abr'!L15</f>
        <v>4</v>
      </c>
      <c r="K15" s="50"/>
      <c r="L15" s="50"/>
      <c r="M15" s="50"/>
      <c r="N15" s="50">
        <f t="shared" si="0"/>
        <v>0</v>
      </c>
      <c r="O15" s="50"/>
      <c r="P15" s="34">
        <f>'Access-Abr'!M15</f>
        <v>7000000</v>
      </c>
      <c r="Q15" s="34"/>
      <c r="R15" s="34">
        <f t="shared" si="1"/>
        <v>7000000</v>
      </c>
      <c r="S15" s="39">
        <f>'Access-Abr'!N15</f>
        <v>0</v>
      </c>
      <c r="T15" s="35">
        <f t="shared" si="2"/>
        <v>0</v>
      </c>
      <c r="U15" s="34">
        <f>'Access-Abr'!O15</f>
        <v>0</v>
      </c>
      <c r="V15" s="35">
        <f t="shared" si="3"/>
        <v>0</v>
      </c>
      <c r="W15" s="34">
        <f>'Access-Abr'!P15</f>
        <v>0</v>
      </c>
      <c r="X15" s="35">
        <f t="shared" si="4"/>
        <v>0</v>
      </c>
    </row>
    <row r="16" spans="1:24" ht="25.5" customHeight="1" x14ac:dyDescent="0.2">
      <c r="A16" s="31" t="str">
        <f>+'Access-Abr'!A16</f>
        <v>12104</v>
      </c>
      <c r="B16" s="32" t="str">
        <f>+'Access-Abr'!B16</f>
        <v>TRIBUNAL REGIONAL FEDERAL DA 3A. REGIAO</v>
      </c>
      <c r="C16" s="31" t="str">
        <f>CONCATENATE('Access-Abr'!C16,".",'Access-Abr'!D16)</f>
        <v>02.122</v>
      </c>
      <c r="D16" s="31" t="str">
        <f>CONCATENATE('Access-Abr'!E16,".",'Access-Abr'!G16)</f>
        <v>0569.15PC</v>
      </c>
      <c r="E16" s="32" t="str">
        <f>+'Access-Abr'!F16</f>
        <v>PRESTACAO JURISDICIONAL NA JUSTICA FEDERAL</v>
      </c>
      <c r="F16" s="32" t="str">
        <f>+'Access-Abr'!H16</f>
        <v>AQUISICAO DE IMOVEIS PARA FUNCIONAMENTO DO TRF3 DA 3. REGIAO</v>
      </c>
      <c r="G16" s="31" t="str">
        <f>IF('Access-Abr'!I16="1","F","S")</f>
        <v>F</v>
      </c>
      <c r="H16" s="31" t="str">
        <f>+'Access-Abr'!J16</f>
        <v>0181</v>
      </c>
      <c r="I16" s="32" t="str">
        <f>+'Access-Abr'!K16</f>
        <v>RECURSOS DE CONVENIOS</v>
      </c>
      <c r="J16" s="31" t="str">
        <f>+'Access-Abr'!L16</f>
        <v>5</v>
      </c>
      <c r="K16" s="34"/>
      <c r="L16" s="34"/>
      <c r="M16" s="34"/>
      <c r="N16" s="50">
        <f t="shared" si="0"/>
        <v>0</v>
      </c>
      <c r="O16" s="34"/>
      <c r="P16" s="34">
        <f>'Access-Abr'!M16</f>
        <v>9000000</v>
      </c>
      <c r="Q16" s="34"/>
      <c r="R16" s="34">
        <f t="shared" si="1"/>
        <v>9000000</v>
      </c>
      <c r="S16" s="39">
        <f>'Access-Abr'!N16</f>
        <v>0</v>
      </c>
      <c r="T16" s="35">
        <f t="shared" si="2"/>
        <v>0</v>
      </c>
      <c r="U16" s="34">
        <f>'Access-Abr'!O16</f>
        <v>0</v>
      </c>
      <c r="V16" s="35">
        <f t="shared" si="3"/>
        <v>0</v>
      </c>
      <c r="W16" s="34">
        <f>'Access-Abr'!P16</f>
        <v>0</v>
      </c>
      <c r="X16" s="35">
        <f t="shared" si="4"/>
        <v>0</v>
      </c>
    </row>
    <row r="17" spans="1:24" ht="25.5" customHeight="1" x14ac:dyDescent="0.2">
      <c r="A17" s="31" t="str">
        <f>+'Access-Abr'!A17</f>
        <v>12104</v>
      </c>
      <c r="B17" s="32" t="str">
        <f>+'Access-Abr'!B17</f>
        <v>TRIBUNAL REGIONAL FEDERAL DA 3A. REGIAO</v>
      </c>
      <c r="C17" s="31" t="str">
        <f>CONCATENATE('Access-Abr'!C17,".",'Access-Abr'!D17)</f>
        <v>02.122</v>
      </c>
      <c r="D17" s="31" t="str">
        <f>CONCATENATE('Access-Abr'!E17,".",'Access-Abr'!G17)</f>
        <v>0569.20TP</v>
      </c>
      <c r="E17" s="32" t="str">
        <f>+'Access-Abr'!F17</f>
        <v>PRESTACAO JURISDICIONAL NA JUSTICA FEDERAL</v>
      </c>
      <c r="F17" s="32" t="str">
        <f>+'Access-Abr'!H17</f>
        <v>ATIVOS CIVIS DA UNIAO</v>
      </c>
      <c r="G17" s="31" t="str">
        <f>IF('Access-Abr'!I17="1","F","S")</f>
        <v>F</v>
      </c>
      <c r="H17" s="31" t="str">
        <f>+'Access-Abr'!J17</f>
        <v>0100</v>
      </c>
      <c r="I17" s="32" t="str">
        <f>+'Access-Abr'!K17</f>
        <v>RECURSOS ORDINARIOS</v>
      </c>
      <c r="J17" s="31" t="str">
        <f>+'Access-Abr'!L17</f>
        <v>1</v>
      </c>
      <c r="K17" s="34"/>
      <c r="L17" s="34"/>
      <c r="M17" s="34"/>
      <c r="N17" s="50">
        <f t="shared" si="0"/>
        <v>0</v>
      </c>
      <c r="O17" s="34"/>
      <c r="P17" s="34">
        <f>'Access-Abr'!M17</f>
        <v>135868717.65000001</v>
      </c>
      <c r="Q17" s="34"/>
      <c r="R17" s="34">
        <f t="shared" si="1"/>
        <v>135868717.65000001</v>
      </c>
      <c r="S17" s="39">
        <f>'Access-Abr'!N17</f>
        <v>135250199.88</v>
      </c>
      <c r="T17" s="35">
        <f t="shared" si="2"/>
        <v>0.99544768081499579</v>
      </c>
      <c r="U17" s="34">
        <f>'Access-Abr'!O17</f>
        <v>135240536.44</v>
      </c>
      <c r="V17" s="35">
        <f t="shared" si="3"/>
        <v>0.99537655745292153</v>
      </c>
      <c r="W17" s="34">
        <f>'Access-Abr'!P17</f>
        <v>133563982.05</v>
      </c>
      <c r="X17" s="35">
        <f t="shared" si="4"/>
        <v>0.9830370401674281</v>
      </c>
    </row>
    <row r="18" spans="1:24" ht="25.5" customHeight="1" x14ac:dyDescent="0.2">
      <c r="A18" s="31" t="str">
        <f>+'Access-Abr'!A18</f>
        <v>12104</v>
      </c>
      <c r="B18" s="32" t="str">
        <f>+'Access-Abr'!B18</f>
        <v>TRIBUNAL REGIONAL FEDERAL DA 3A. REGIAO</v>
      </c>
      <c r="C18" s="31" t="str">
        <f>CONCATENATE('Access-Abr'!C18,".",'Access-Abr'!D18)</f>
        <v>02.122</v>
      </c>
      <c r="D18" s="31" t="str">
        <f>CONCATENATE('Access-Abr'!E18,".",'Access-Abr'!G18)</f>
        <v>0569.216H</v>
      </c>
      <c r="E18" s="32" t="str">
        <f>+'Access-Abr'!F18</f>
        <v>PRESTACAO JURISDICIONAL NA JUSTICA FEDERAL</v>
      </c>
      <c r="F18" s="32" t="str">
        <f>+'Access-Abr'!H18</f>
        <v>AJUDA DE CUSTO PARA MORADIA OU AUXILIO-MORADIA A AGENTES PUB</v>
      </c>
      <c r="G18" s="31" t="str">
        <f>IF('Access-Abr'!I18="1","F","S")</f>
        <v>F</v>
      </c>
      <c r="H18" s="31" t="str">
        <f>+'Access-Abr'!J18</f>
        <v>0100</v>
      </c>
      <c r="I18" s="32" t="str">
        <f>+'Access-Abr'!K18</f>
        <v>RECURSOS ORDINARIOS</v>
      </c>
      <c r="J18" s="31" t="str">
        <f>+'Access-Abr'!L18</f>
        <v>3</v>
      </c>
      <c r="K18" s="50"/>
      <c r="L18" s="50"/>
      <c r="M18" s="50"/>
      <c r="N18" s="50">
        <f t="shared" si="0"/>
        <v>0</v>
      </c>
      <c r="O18" s="50"/>
      <c r="P18" s="34">
        <f>'Access-Abr'!M18</f>
        <v>2442858</v>
      </c>
      <c r="Q18" s="34"/>
      <c r="R18" s="34">
        <f t="shared" si="1"/>
        <v>2442858</v>
      </c>
      <c r="S18" s="39">
        <f>'Access-Abr'!N18</f>
        <v>834188.26</v>
      </c>
      <c r="T18" s="35">
        <f t="shared" si="2"/>
        <v>0.34148045445130254</v>
      </c>
      <c r="U18" s="34">
        <f>'Access-Abr'!O18</f>
        <v>745655.26</v>
      </c>
      <c r="V18" s="35">
        <f t="shared" si="3"/>
        <v>0.30523888822027312</v>
      </c>
      <c r="W18" s="34">
        <f>'Access-Abr'!P18</f>
        <v>745655.26</v>
      </c>
      <c r="X18" s="35">
        <f t="shared" si="4"/>
        <v>0.30523888822027312</v>
      </c>
    </row>
    <row r="19" spans="1:24" ht="25.5" customHeight="1" x14ac:dyDescent="0.2">
      <c r="A19" s="31" t="str">
        <f>+'Access-Abr'!A19</f>
        <v>12104</v>
      </c>
      <c r="B19" s="32" t="str">
        <f>+'Access-Abr'!B19</f>
        <v>TRIBUNAL REGIONAL FEDERAL DA 3A. REGIAO</v>
      </c>
      <c r="C19" s="31" t="str">
        <f>CONCATENATE('Access-Abr'!C19,".",'Access-Abr'!D19)</f>
        <v>02.126</v>
      </c>
      <c r="D19" s="31" t="str">
        <f>CONCATENATE('Access-Abr'!E19,".",'Access-Abr'!G19)</f>
        <v>0569.151W</v>
      </c>
      <c r="E19" s="32" t="str">
        <f>+'Access-Abr'!F19</f>
        <v>PRESTACAO JURISDICIONAL NA JUSTICA FEDERAL</v>
      </c>
      <c r="F19" s="32" t="str">
        <f>+'Access-Abr'!H19</f>
        <v>DESENVOLVIMENTO E IMPLANTACAO DO SISTEMA PROCESSO JUDICIAL E</v>
      </c>
      <c r="G19" s="31" t="str">
        <f>IF('Access-Abr'!I19="1","F","S")</f>
        <v>F</v>
      </c>
      <c r="H19" s="31" t="str">
        <f>+'Access-Abr'!J19</f>
        <v>0100</v>
      </c>
      <c r="I19" s="32" t="str">
        <f>+'Access-Abr'!K19</f>
        <v>RECURSOS ORDINARIOS</v>
      </c>
      <c r="J19" s="31" t="str">
        <f>+'Access-Abr'!L19</f>
        <v>4</v>
      </c>
      <c r="K19" s="50"/>
      <c r="L19" s="50"/>
      <c r="M19" s="50"/>
      <c r="N19" s="50">
        <f t="shared" si="0"/>
        <v>0</v>
      </c>
      <c r="O19" s="50"/>
      <c r="P19" s="34">
        <f>'Access-Abr'!M19</f>
        <v>658450</v>
      </c>
      <c r="Q19" s="34"/>
      <c r="R19" s="34">
        <f t="shared" si="1"/>
        <v>658450</v>
      </c>
      <c r="S19" s="39">
        <f>'Access-Abr'!N19</f>
        <v>0</v>
      </c>
      <c r="T19" s="35">
        <f t="shared" si="2"/>
        <v>0</v>
      </c>
      <c r="U19" s="34">
        <f>'Access-Abr'!O19</f>
        <v>0</v>
      </c>
      <c r="V19" s="35">
        <f t="shared" si="3"/>
        <v>0</v>
      </c>
      <c r="W19" s="34">
        <f>'Access-Abr'!P19</f>
        <v>0</v>
      </c>
      <c r="X19" s="35">
        <f t="shared" si="4"/>
        <v>0</v>
      </c>
    </row>
    <row r="20" spans="1:24" ht="25.5" customHeight="1" x14ac:dyDescent="0.2">
      <c r="A20" s="31" t="str">
        <f>+'Access-Abr'!A20</f>
        <v>12104</v>
      </c>
      <c r="B20" s="32" t="str">
        <f>+'Access-Abr'!B20</f>
        <v>TRIBUNAL REGIONAL FEDERAL DA 3A. REGIAO</v>
      </c>
      <c r="C20" s="31" t="str">
        <f>CONCATENATE('Access-Abr'!C20,".",'Access-Abr'!D20)</f>
        <v>02.126</v>
      </c>
      <c r="D20" s="31" t="str">
        <f>CONCATENATE('Access-Abr'!E20,".",'Access-Abr'!G20)</f>
        <v>0569.151W</v>
      </c>
      <c r="E20" s="32" t="str">
        <f>+'Access-Abr'!F20</f>
        <v>PRESTACAO JURISDICIONAL NA JUSTICA FEDERAL</v>
      </c>
      <c r="F20" s="32" t="str">
        <f>+'Access-Abr'!H20</f>
        <v>DESENVOLVIMENTO E IMPLANTACAO DO SISTEMA PROCESSO JUDICIAL E</v>
      </c>
      <c r="G20" s="31" t="str">
        <f>IF('Access-Abr'!I20="1","F","S")</f>
        <v>F</v>
      </c>
      <c r="H20" s="31" t="str">
        <f>+'Access-Abr'!J20</f>
        <v>0100</v>
      </c>
      <c r="I20" s="32" t="str">
        <f>+'Access-Abr'!K20</f>
        <v>RECURSOS ORDINARIOS</v>
      </c>
      <c r="J20" s="31" t="str">
        <f>+'Access-Abr'!L20</f>
        <v>3</v>
      </c>
      <c r="K20" s="50"/>
      <c r="L20" s="50"/>
      <c r="M20" s="50"/>
      <c r="N20" s="50">
        <f t="shared" si="0"/>
        <v>0</v>
      </c>
      <c r="O20" s="50"/>
      <c r="P20" s="34">
        <f>'Access-Abr'!M20</f>
        <v>603773</v>
      </c>
      <c r="Q20" s="34"/>
      <c r="R20" s="34">
        <f t="shared" si="1"/>
        <v>603773</v>
      </c>
      <c r="S20" s="39">
        <f>'Access-Abr'!N20</f>
        <v>594734</v>
      </c>
      <c r="T20" s="35">
        <f t="shared" si="2"/>
        <v>0.98502914174698109</v>
      </c>
      <c r="U20" s="34">
        <f>'Access-Abr'!O20</f>
        <v>39614.870000000003</v>
      </c>
      <c r="V20" s="35">
        <f t="shared" si="3"/>
        <v>6.5612191999311009E-2</v>
      </c>
      <c r="W20" s="34">
        <f>'Access-Abr'!P20</f>
        <v>38073.94</v>
      </c>
      <c r="X20" s="35">
        <f t="shared" si="4"/>
        <v>6.3060024214398464E-2</v>
      </c>
    </row>
    <row r="21" spans="1:24" ht="25.5" customHeight="1" x14ac:dyDescent="0.2">
      <c r="A21" s="31" t="str">
        <f>+'Access-Abr'!A21</f>
        <v>12104</v>
      </c>
      <c r="B21" s="32" t="str">
        <f>+'Access-Abr'!B21</f>
        <v>TRIBUNAL REGIONAL FEDERAL DA 3A. REGIAO</v>
      </c>
      <c r="C21" s="31" t="str">
        <f>CONCATENATE('Access-Abr'!C21,".",'Access-Abr'!D21)</f>
        <v>02.131</v>
      </c>
      <c r="D21" s="31" t="str">
        <f>CONCATENATE('Access-Abr'!E21,".",'Access-Abr'!G21)</f>
        <v>0569.2549</v>
      </c>
      <c r="E21" s="32" t="str">
        <f>+'Access-Abr'!F21</f>
        <v>PRESTACAO JURISDICIONAL NA JUSTICA FEDERAL</v>
      </c>
      <c r="F21" s="32" t="str">
        <f>+'Access-Abr'!H21</f>
        <v>COMUNICACAO E DIVULGACAO INSTITUCIONAL</v>
      </c>
      <c r="G21" s="31" t="str">
        <f>IF('Access-Abr'!I21="1","F","S")</f>
        <v>F</v>
      </c>
      <c r="H21" s="31" t="str">
        <f>+'Access-Abr'!J21</f>
        <v>0100</v>
      </c>
      <c r="I21" s="32" t="str">
        <f>+'Access-Abr'!K21</f>
        <v>RECURSOS ORDINARIOS</v>
      </c>
      <c r="J21" s="31" t="str">
        <f>+'Access-Abr'!L21</f>
        <v>3</v>
      </c>
      <c r="K21" s="50"/>
      <c r="L21" s="50"/>
      <c r="M21" s="50"/>
      <c r="N21" s="50">
        <f t="shared" si="0"/>
        <v>0</v>
      </c>
      <c r="O21" s="50"/>
      <c r="P21" s="34">
        <f>'Access-Abr'!M21</f>
        <v>560609</v>
      </c>
      <c r="Q21" s="34"/>
      <c r="R21" s="34">
        <f t="shared" si="1"/>
        <v>560609</v>
      </c>
      <c r="S21" s="39">
        <f>'Access-Abr'!N21</f>
        <v>483456.48</v>
      </c>
      <c r="T21" s="35">
        <f t="shared" si="2"/>
        <v>0.86237730753519826</v>
      </c>
      <c r="U21" s="34">
        <f>'Access-Abr'!O21</f>
        <v>125288.13</v>
      </c>
      <c r="V21" s="35">
        <f t="shared" si="3"/>
        <v>0.22348576280437882</v>
      </c>
      <c r="W21" s="34">
        <f>'Access-Abr'!P21</f>
        <v>125288.13</v>
      </c>
      <c r="X21" s="35">
        <f t="shared" si="4"/>
        <v>0.22348576280437882</v>
      </c>
    </row>
    <row r="22" spans="1:24" ht="25.5" customHeight="1" x14ac:dyDescent="0.2">
      <c r="A22" s="31" t="str">
        <f>+'Access-Abr'!A22</f>
        <v>12104</v>
      </c>
      <c r="B22" s="32" t="str">
        <f>+'Access-Abr'!B22</f>
        <v>TRIBUNAL REGIONAL FEDERAL DA 3A. REGIAO</v>
      </c>
      <c r="C22" s="31" t="str">
        <f>CONCATENATE('Access-Abr'!C22,".",'Access-Abr'!D22)</f>
        <v>02.301</v>
      </c>
      <c r="D22" s="31" t="str">
        <f>CONCATENATE('Access-Abr'!E22,".",'Access-Abr'!G22)</f>
        <v>0569.2004</v>
      </c>
      <c r="E22" s="32" t="str">
        <f>+'Access-Abr'!F22</f>
        <v>PRESTACAO JURISDICIONAL NA JUSTICA FEDERAL</v>
      </c>
      <c r="F22" s="32" t="str">
        <f>+'Access-Abr'!H22</f>
        <v>ASSISTENCIA MEDICA E ODONTOLOGICA AOS SERVIDORES CIVIS, EMPR</v>
      </c>
      <c r="G22" s="31" t="str">
        <f>IF('Access-Abr'!I22="1","F","S")</f>
        <v>S</v>
      </c>
      <c r="H22" s="31" t="str">
        <f>+'Access-Abr'!J22</f>
        <v>0100</v>
      </c>
      <c r="I22" s="32" t="str">
        <f>+'Access-Abr'!K22</f>
        <v>RECURSOS ORDINARIOS</v>
      </c>
      <c r="J22" s="31" t="str">
        <f>+'Access-Abr'!L22</f>
        <v>4</v>
      </c>
      <c r="K22" s="50"/>
      <c r="L22" s="50"/>
      <c r="M22" s="50"/>
      <c r="N22" s="50">
        <f t="shared" si="0"/>
        <v>0</v>
      </c>
      <c r="O22" s="50"/>
      <c r="P22" s="34">
        <f>'Access-Abr'!M22</f>
        <v>15000</v>
      </c>
      <c r="Q22" s="34"/>
      <c r="R22" s="34">
        <f t="shared" si="1"/>
        <v>15000</v>
      </c>
      <c r="S22" s="39">
        <f>'Access-Abr'!N22</f>
        <v>0</v>
      </c>
      <c r="T22" s="35">
        <f t="shared" si="2"/>
        <v>0</v>
      </c>
      <c r="U22" s="34">
        <f>'Access-Abr'!O22</f>
        <v>0</v>
      </c>
      <c r="V22" s="35">
        <f t="shared" si="3"/>
        <v>0</v>
      </c>
      <c r="W22" s="34">
        <f>'Access-Abr'!P22</f>
        <v>0</v>
      </c>
      <c r="X22" s="35">
        <f t="shared" si="4"/>
        <v>0</v>
      </c>
    </row>
    <row r="23" spans="1:24" ht="25.5" customHeight="1" x14ac:dyDescent="0.2">
      <c r="A23" s="31" t="str">
        <f>+'Access-Abr'!A23</f>
        <v>12104</v>
      </c>
      <c r="B23" s="32" t="str">
        <f>+'Access-Abr'!B23</f>
        <v>TRIBUNAL REGIONAL FEDERAL DA 3A. REGIAO</v>
      </c>
      <c r="C23" s="31" t="str">
        <f>CONCATENATE('Access-Abr'!C23,".",'Access-Abr'!D23)</f>
        <v>02.301</v>
      </c>
      <c r="D23" s="31" t="str">
        <f>CONCATENATE('Access-Abr'!E23,".",'Access-Abr'!G23)</f>
        <v>0569.2004</v>
      </c>
      <c r="E23" s="32" t="str">
        <f>+'Access-Abr'!F23</f>
        <v>PRESTACAO JURISDICIONAL NA JUSTICA FEDERAL</v>
      </c>
      <c r="F23" s="32" t="str">
        <f>+'Access-Abr'!H23</f>
        <v>ASSISTENCIA MEDICA E ODONTOLOGICA AOS SERVIDORES CIVIS, EMPR</v>
      </c>
      <c r="G23" s="31" t="str">
        <f>IF('Access-Abr'!I23="1","F","S")</f>
        <v>S</v>
      </c>
      <c r="H23" s="31" t="str">
        <f>+'Access-Abr'!J23</f>
        <v>0100</v>
      </c>
      <c r="I23" s="32" t="str">
        <f>+'Access-Abr'!K23</f>
        <v>RECURSOS ORDINARIOS</v>
      </c>
      <c r="J23" s="31" t="str">
        <f>+'Access-Abr'!L23</f>
        <v>3</v>
      </c>
      <c r="K23" s="50"/>
      <c r="L23" s="50"/>
      <c r="M23" s="50"/>
      <c r="N23" s="50">
        <f t="shared" si="0"/>
        <v>0</v>
      </c>
      <c r="O23" s="50"/>
      <c r="P23" s="34">
        <f>'Access-Abr'!M23</f>
        <v>12294825</v>
      </c>
      <c r="Q23" s="34"/>
      <c r="R23" s="34">
        <f t="shared" si="1"/>
        <v>12294825</v>
      </c>
      <c r="S23" s="39">
        <f>'Access-Abr'!N23</f>
        <v>7893400</v>
      </c>
      <c r="T23" s="35">
        <f t="shared" si="2"/>
        <v>0.64200995134131633</v>
      </c>
      <c r="U23" s="34">
        <f>'Access-Abr'!O23</f>
        <v>3077494.39</v>
      </c>
      <c r="V23" s="35">
        <f t="shared" si="3"/>
        <v>0.25030810849280083</v>
      </c>
      <c r="W23" s="34">
        <f>'Access-Abr'!P23</f>
        <v>3077494.39</v>
      </c>
      <c r="X23" s="35">
        <f t="shared" si="4"/>
        <v>0.25030810849280083</v>
      </c>
    </row>
    <row r="24" spans="1:24" ht="25.5" customHeight="1" x14ac:dyDescent="0.2">
      <c r="A24" s="31" t="str">
        <f>+'Access-Abr'!A24</f>
        <v>12104</v>
      </c>
      <c r="B24" s="32" t="str">
        <f>+'Access-Abr'!B24</f>
        <v>TRIBUNAL REGIONAL FEDERAL DA 3A. REGIAO</v>
      </c>
      <c r="C24" s="31" t="str">
        <f>CONCATENATE('Access-Abr'!C24,".",'Access-Abr'!D24)</f>
        <v>02.331</v>
      </c>
      <c r="D24" s="31" t="str">
        <f>CONCATENATE('Access-Abr'!E24,".",'Access-Abr'!G24)</f>
        <v>0569.212B</v>
      </c>
      <c r="E24" s="32" t="str">
        <f>+'Access-Abr'!F24</f>
        <v>PRESTACAO JURISDICIONAL NA JUSTICA FEDERAL</v>
      </c>
      <c r="F24" s="32" t="str">
        <f>+'Access-Abr'!H24</f>
        <v>BENEFICIOS OBRIGATORIOS AOS SERVIDORES CIVIS, EMPREGADOS, MI</v>
      </c>
      <c r="G24" s="31" t="str">
        <f>IF('Access-Abr'!I24="1","F","S")</f>
        <v>F</v>
      </c>
      <c r="H24" s="31" t="str">
        <f>+'Access-Abr'!J24</f>
        <v>0100</v>
      </c>
      <c r="I24" s="32" t="str">
        <f>+'Access-Abr'!K24</f>
        <v>RECURSOS ORDINARIOS</v>
      </c>
      <c r="J24" s="31" t="str">
        <f>+'Access-Abr'!L24</f>
        <v>3</v>
      </c>
      <c r="K24" s="50"/>
      <c r="L24" s="50"/>
      <c r="M24" s="50"/>
      <c r="N24" s="50">
        <f t="shared" si="0"/>
        <v>0</v>
      </c>
      <c r="O24" s="50"/>
      <c r="P24" s="34">
        <f>'Access-Abr'!M24</f>
        <v>22990334.920000002</v>
      </c>
      <c r="Q24" s="34"/>
      <c r="R24" s="34">
        <f t="shared" si="1"/>
        <v>22990334.920000002</v>
      </c>
      <c r="S24" s="39">
        <f>'Access-Abr'!N24</f>
        <v>22990334.920000002</v>
      </c>
      <c r="T24" s="35">
        <f t="shared" si="2"/>
        <v>1</v>
      </c>
      <c r="U24" s="34">
        <f>'Access-Abr'!O24</f>
        <v>7474697.1900000004</v>
      </c>
      <c r="V24" s="35">
        <f t="shared" si="3"/>
        <v>0.32512345801006715</v>
      </c>
      <c r="W24" s="34">
        <f>'Access-Abr'!P24</f>
        <v>7474697.1900000004</v>
      </c>
      <c r="X24" s="35">
        <f t="shared" si="4"/>
        <v>0.32512345801006715</v>
      </c>
    </row>
    <row r="25" spans="1:24" ht="25.5" customHeight="1" x14ac:dyDescent="0.2">
      <c r="A25" s="31" t="str">
        <f>+'Access-Abr'!A25</f>
        <v>12104</v>
      </c>
      <c r="B25" s="32" t="str">
        <f>+'Access-Abr'!B25</f>
        <v>TRIBUNAL REGIONAL FEDERAL DA 3A. REGIAO</v>
      </c>
      <c r="C25" s="31" t="str">
        <f>CONCATENATE('Access-Abr'!C25,".",'Access-Abr'!D25)</f>
        <v>02.846</v>
      </c>
      <c r="D25" s="31" t="str">
        <f>CONCATENATE('Access-Abr'!E25,".",'Access-Abr'!G25)</f>
        <v>0569.09HB</v>
      </c>
      <c r="E25" s="32" t="str">
        <f>+'Access-Abr'!F25</f>
        <v>PRESTACAO JURISDICIONAL NA JUSTICA FEDERAL</v>
      </c>
      <c r="F25" s="32" t="str">
        <f>+'Access-Abr'!H25</f>
        <v>CONTRIBUICAO DA UNIAO, DE SUAS AUTARQUIAS E FUNDACOES PARA O</v>
      </c>
      <c r="G25" s="31" t="str">
        <f>IF('Access-Abr'!I25="1","F","S")</f>
        <v>F</v>
      </c>
      <c r="H25" s="31" t="str">
        <f>+'Access-Abr'!J25</f>
        <v>0100</v>
      </c>
      <c r="I25" s="32" t="str">
        <f>+'Access-Abr'!K25</f>
        <v>RECURSOS ORDINARIOS</v>
      </c>
      <c r="J25" s="31" t="str">
        <f>+'Access-Abr'!L25</f>
        <v>1</v>
      </c>
      <c r="K25" s="50"/>
      <c r="L25" s="50"/>
      <c r="M25" s="50"/>
      <c r="N25" s="50">
        <f t="shared" si="0"/>
        <v>0</v>
      </c>
      <c r="O25" s="50"/>
      <c r="P25" s="34">
        <f>'Access-Abr'!M25</f>
        <v>21237490.359999999</v>
      </c>
      <c r="Q25" s="34"/>
      <c r="R25" s="34">
        <f t="shared" si="1"/>
        <v>21237490.359999999</v>
      </c>
      <c r="S25" s="39">
        <f>'Access-Abr'!N25</f>
        <v>21237490.359999999</v>
      </c>
      <c r="T25" s="35">
        <f t="shared" si="2"/>
        <v>1</v>
      </c>
      <c r="U25" s="34">
        <f>'Access-Abr'!O25</f>
        <v>21237490.359999999</v>
      </c>
      <c r="V25" s="35">
        <f t="shared" si="3"/>
        <v>1</v>
      </c>
      <c r="W25" s="34">
        <f>'Access-Abr'!P25</f>
        <v>21237490.359999999</v>
      </c>
      <c r="X25" s="35">
        <f t="shared" si="4"/>
        <v>1</v>
      </c>
    </row>
    <row r="26" spans="1:24" ht="25.5" customHeight="1" x14ac:dyDescent="0.2">
      <c r="A26" s="31" t="str">
        <f>+'Access-Abr'!A26</f>
        <v>12104</v>
      </c>
      <c r="B26" s="32" t="str">
        <f>+'Access-Abr'!B26</f>
        <v>TRIBUNAL REGIONAL FEDERAL DA 3A. REGIAO</v>
      </c>
      <c r="C26" s="31" t="str">
        <f>CONCATENATE('Access-Abr'!C26,".",'Access-Abr'!D26)</f>
        <v>09.272</v>
      </c>
      <c r="D26" s="31" t="str">
        <f>CONCATENATE('Access-Abr'!E26,".",'Access-Abr'!G26)</f>
        <v>0089.0181</v>
      </c>
      <c r="E26" s="32" t="str">
        <f>+'Access-Abr'!F26</f>
        <v>PREVIDENCIA DE INATIVOS E PENSIONISTAS DA UNIAO</v>
      </c>
      <c r="F26" s="32" t="str">
        <f>+'Access-Abr'!H26</f>
        <v>APOSENTADORIAS E PENSOES CIVIS DA UNIAO</v>
      </c>
      <c r="G26" s="31" t="str">
        <f>IF('Access-Abr'!I26="1","F","S")</f>
        <v>S</v>
      </c>
      <c r="H26" s="31" t="str">
        <f>+'Access-Abr'!J26</f>
        <v>0169</v>
      </c>
      <c r="I26" s="32" t="str">
        <f>+'Access-Abr'!K26</f>
        <v>CONTRIB.PATRONAL P/PLANO DE SEGURID.SOC.SERV.</v>
      </c>
      <c r="J26" s="31" t="str">
        <f>+'Access-Abr'!L26</f>
        <v>1</v>
      </c>
      <c r="K26" s="50"/>
      <c r="L26" s="50"/>
      <c r="M26" s="50"/>
      <c r="N26" s="50">
        <f t="shared" si="0"/>
        <v>0</v>
      </c>
      <c r="O26" s="50"/>
      <c r="P26" s="34">
        <f>'Access-Abr'!M26</f>
        <v>38985738.700000003</v>
      </c>
      <c r="Q26" s="34"/>
      <c r="R26" s="34">
        <f t="shared" si="1"/>
        <v>38985738.700000003</v>
      </c>
      <c r="S26" s="39">
        <f>'Access-Abr'!N26</f>
        <v>38985738.700000003</v>
      </c>
      <c r="T26" s="35">
        <f t="shared" si="2"/>
        <v>1</v>
      </c>
      <c r="U26" s="34">
        <f>'Access-Abr'!O26</f>
        <v>38985738.700000003</v>
      </c>
      <c r="V26" s="35">
        <f t="shared" si="3"/>
        <v>1</v>
      </c>
      <c r="W26" s="34">
        <f>'Access-Abr'!P26</f>
        <v>38476096.829999998</v>
      </c>
      <c r="X26" s="35">
        <f t="shared" si="4"/>
        <v>0.98692747945802028</v>
      </c>
    </row>
    <row r="27" spans="1:24" ht="25.5" customHeight="1" thickBot="1" x14ac:dyDescent="0.25">
      <c r="A27" s="31" t="str">
        <f>+'Access-Abr'!A27</f>
        <v>12104</v>
      </c>
      <c r="B27" s="32" t="str">
        <f>+'Access-Abr'!B27</f>
        <v>TRIBUNAL REGIONAL FEDERAL DA 3A. REGIAO</v>
      </c>
      <c r="C27" s="31" t="str">
        <f>CONCATENATE('Access-Abr'!C27,".",'Access-Abr'!D27)</f>
        <v>28.846</v>
      </c>
      <c r="D27" s="31" t="str">
        <f>CONCATENATE('Access-Abr'!E27,".",'Access-Abr'!G27)</f>
        <v>0909.0536</v>
      </c>
      <c r="E27" s="32" t="str">
        <f>+'Access-Abr'!F27</f>
        <v>OPERACOES ESPECIAIS: OUTROS ENCARGOS ESPECIAIS</v>
      </c>
      <c r="F27" s="32" t="str">
        <f>+'Access-Abr'!H27</f>
        <v>BENEFICIOS E PENSOES INDENIZATORIAS DECORRENTES DE LEGISLACA</v>
      </c>
      <c r="G27" s="31" t="str">
        <f>IF('Access-Abr'!I27="1","F","S")</f>
        <v>S</v>
      </c>
      <c r="H27" s="31" t="str">
        <f>+'Access-Abr'!J27</f>
        <v>0100</v>
      </c>
      <c r="I27" s="32" t="str">
        <f>+'Access-Abr'!K27</f>
        <v>RECURSOS ORDINARIOS</v>
      </c>
      <c r="J27" s="31" t="str">
        <f>+'Access-Abr'!L27</f>
        <v>3</v>
      </c>
      <c r="K27" s="50"/>
      <c r="L27" s="50"/>
      <c r="M27" s="50"/>
      <c r="N27" s="50">
        <f t="shared" si="0"/>
        <v>0</v>
      </c>
      <c r="O27" s="50"/>
      <c r="P27" s="34">
        <f>'Access-Abr'!M27</f>
        <v>18684</v>
      </c>
      <c r="Q27" s="34"/>
      <c r="R27" s="34">
        <f t="shared" si="1"/>
        <v>18684</v>
      </c>
      <c r="S27" s="39">
        <f>'Access-Abr'!N27</f>
        <v>18684</v>
      </c>
      <c r="T27" s="35">
        <f t="shared" si="2"/>
        <v>1</v>
      </c>
      <c r="U27" s="34">
        <f>'Access-Abr'!O27</f>
        <v>5928.09</v>
      </c>
      <c r="V27" s="35">
        <f t="shared" si="3"/>
        <v>0.31728163134232501</v>
      </c>
      <c r="W27" s="34">
        <f>'Access-Abr'!P27</f>
        <v>5928.09</v>
      </c>
      <c r="X27" s="35">
        <f t="shared" si="4"/>
        <v>0.31728163134232501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318252971.49000001</v>
      </c>
      <c r="Q28" s="52">
        <f>SUM(Q10:Q27)</f>
        <v>0</v>
      </c>
      <c r="R28" s="52">
        <f>SUM(R10:R27)</f>
        <v>318252971.49000001</v>
      </c>
      <c r="S28" s="52">
        <f>SUM(S10:S27)</f>
        <v>272031551.02999997</v>
      </c>
      <c r="T28" s="43">
        <f t="shared" si="2"/>
        <v>0.85476515665006958</v>
      </c>
      <c r="U28" s="52">
        <f>SUM(U10:U27)</f>
        <v>219005840.94999996</v>
      </c>
      <c r="V28" s="43">
        <f t="shared" si="3"/>
        <v>0.68815018419044505</v>
      </c>
      <c r="W28" s="52">
        <f>SUM(W10:W27)</f>
        <v>214908245.35999992</v>
      </c>
      <c r="X28" s="43">
        <f t="shared" si="4"/>
        <v>0.67527490585190864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6" t="s">
        <v>16</v>
      </c>
      <c r="O31" s="76"/>
      <c r="P31" s="54">
        <f>SUM(P10:P27)</f>
        <v>318252971.49000001</v>
      </c>
      <c r="Q31" s="54"/>
      <c r="R31" s="54">
        <f>SUM(R10:R27)</f>
        <v>318252971.49000001</v>
      </c>
      <c r="S31" s="54">
        <f>SUM(S10:S27)</f>
        <v>272031551.02999997</v>
      </c>
      <c r="T31" s="54"/>
      <c r="U31" s="54">
        <f>SUM(U10:U27)</f>
        <v>219005840.94999996</v>
      </c>
      <c r="V31" s="54"/>
      <c r="W31" s="54">
        <f>SUM(W10:W27)</f>
        <v>214908245.35999992</v>
      </c>
    </row>
    <row r="32" spans="1:24" ht="25.5" customHeight="1" x14ac:dyDescent="0.2">
      <c r="N32" s="76" t="s">
        <v>132</v>
      </c>
      <c r="O32" s="76"/>
      <c r="P32" s="37">
        <f>'Access-Abr'!M29</f>
        <v>318252971.49000001</v>
      </c>
      <c r="Q32" s="37"/>
      <c r="R32" s="37">
        <f>P32</f>
        <v>318252971.49000001</v>
      </c>
      <c r="S32" s="37">
        <f>'Access-Abr'!N29</f>
        <v>272031551.02999997</v>
      </c>
      <c r="T32" s="37"/>
      <c r="U32" s="37">
        <f>'Access-Abr'!O29</f>
        <v>219005840.94999996</v>
      </c>
      <c r="V32" s="37"/>
      <c r="W32" s="37">
        <f>'Access-Abr'!P29</f>
        <v>214908245.35999992</v>
      </c>
    </row>
    <row r="33" spans="14:23" ht="25.5" customHeight="1" x14ac:dyDescent="0.2">
      <c r="N33" s="76" t="s">
        <v>17</v>
      </c>
      <c r="O33" s="76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ht="25.5" customHeight="1" x14ac:dyDescent="0.2">
      <c r="P34" s="67"/>
      <c r="U34" s="67"/>
      <c r="W34" s="67"/>
    </row>
    <row r="35" spans="14:23" ht="25.5" customHeight="1" x14ac:dyDescent="0.2">
      <c r="N35" s="1" t="s">
        <v>145</v>
      </c>
      <c r="P35" s="37">
        <f>317587657.49+665314</f>
        <v>318252971.49000001</v>
      </c>
      <c r="R35" s="37">
        <f>P35</f>
        <v>318252971.49000001</v>
      </c>
      <c r="S35" s="37">
        <f>271440715.22+590835.81</f>
        <v>272031551.03000003</v>
      </c>
      <c r="U35" s="37">
        <f>218748555.94+257285.01</f>
        <v>219005840.94999999</v>
      </c>
      <c r="W35" s="37">
        <f>214650960.35+257285.01</f>
        <v>214908245.35999998</v>
      </c>
    </row>
    <row r="36" spans="14:23" ht="25.5" customHeight="1" x14ac:dyDescent="0.2">
      <c r="N36" s="76" t="s">
        <v>17</v>
      </c>
      <c r="P36" s="72">
        <f>+P31-P35</f>
        <v>0</v>
      </c>
      <c r="Q36" s="71"/>
      <c r="R36" s="72">
        <f>+R31-R35</f>
        <v>0</v>
      </c>
      <c r="S36" s="72">
        <f>+S31-S35</f>
        <v>0</v>
      </c>
      <c r="T36" s="71"/>
      <c r="U36" s="72">
        <f>+U31-U35</f>
        <v>0</v>
      </c>
      <c r="V36" s="71"/>
      <c r="W36" s="72">
        <f>+W31-W35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  <mergeCell ref="A8:B8"/>
    <mergeCell ref="C8:C9"/>
    <mergeCell ref="D8:D9"/>
    <mergeCell ref="E8:F8"/>
    <mergeCell ref="G8:G9"/>
    <mergeCell ref="H8:I8"/>
    <mergeCell ref="A28:J2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zoomScaleNormal="100" zoomScaleSheetLayoutView="100" workbookViewId="0">
      <selection activeCell="N31" sqref="N31:Y37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43221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+'Access-Mai'!A10</f>
        <v>12104</v>
      </c>
      <c r="B10" s="25" t="str">
        <f>+'Access-Mai'!B10</f>
        <v>TRIBUNAL REGIONAL FEDERAL DA 3A. REGIAO</v>
      </c>
      <c r="C10" s="26" t="str">
        <f>CONCATENATE('Access-Mai'!C10,".",'Access-Mai'!D10)</f>
        <v>02.061</v>
      </c>
      <c r="D10" s="26" t="str">
        <f>CONCATENATE('Access-Mai'!E10,".",'Access-Mai'!G10)</f>
        <v>0569.4224</v>
      </c>
      <c r="E10" s="25" t="str">
        <f>+'Access-Mai'!F10</f>
        <v>PRESTACAO JURISDICIONAL NA JUSTICA FEDERAL</v>
      </c>
      <c r="F10" s="27" t="str">
        <f>+'Access-Mai'!H10</f>
        <v>ASSISTENCIA JURIDICA A PESSOAS CARENTES</v>
      </c>
      <c r="G10" s="24" t="str">
        <f>IF('Access-Mai'!I10="1","F","S")</f>
        <v>F</v>
      </c>
      <c r="H10" s="24" t="str">
        <f>+'Access-Mai'!J10</f>
        <v>0100</v>
      </c>
      <c r="I10" s="28" t="str">
        <f>+'Access-Mai'!K10</f>
        <v>RECURSOS ORDINARIOS</v>
      </c>
      <c r="J10" s="24" t="str">
        <f>+'Access-Mai'!L10</f>
        <v>3</v>
      </c>
      <c r="K10" s="47"/>
      <c r="L10" s="48"/>
      <c r="M10" s="48"/>
      <c r="N10" s="49">
        <f>+K10+L10-M10</f>
        <v>0</v>
      </c>
      <c r="O10" s="47"/>
      <c r="P10" s="29">
        <f>'Access-Mai'!M10</f>
        <v>15000</v>
      </c>
      <c r="Q10" s="29"/>
      <c r="R10" s="29">
        <f>N10-O10+P10</f>
        <v>15000</v>
      </c>
      <c r="S10" s="55">
        <f>'Access-Mai'!N10</f>
        <v>15000</v>
      </c>
      <c r="T10" s="44">
        <f>IF(R10&gt;0,S10/R10,0)</f>
        <v>1</v>
      </c>
      <c r="U10" s="29">
        <f>'Access-Mai'!O10</f>
        <v>0</v>
      </c>
      <c r="V10" s="30">
        <f>IF(R10&gt;0,U10/R10,0)</f>
        <v>0</v>
      </c>
      <c r="W10" s="29">
        <f>'Access-Mai'!P10</f>
        <v>0</v>
      </c>
      <c r="X10" s="30">
        <f>IF(R10&gt;0,W10/R10,0)</f>
        <v>0</v>
      </c>
    </row>
    <row r="11" spans="1:24" ht="25.5" customHeight="1" x14ac:dyDescent="0.2">
      <c r="A11" s="31" t="str">
        <f>+'Access-Mai'!A11</f>
        <v>12104</v>
      </c>
      <c r="B11" s="32" t="str">
        <f>+'Access-Mai'!B11</f>
        <v>TRIBUNAL REGIONAL FEDERAL DA 3A. REGIAO</v>
      </c>
      <c r="C11" s="31" t="str">
        <f>CONCATENATE('Access-Mai'!C11,".",'Access-Mai'!D11)</f>
        <v>02.061</v>
      </c>
      <c r="D11" s="31" t="str">
        <f>CONCATENATE('Access-Mai'!E11,".",'Access-Mai'!G11)</f>
        <v>0569.4257</v>
      </c>
      <c r="E11" s="32" t="str">
        <f>+'Access-Mai'!F11</f>
        <v>PRESTACAO JURISDICIONAL NA JUSTICA FEDERAL</v>
      </c>
      <c r="F11" s="33" t="str">
        <f>+'Access-Mai'!H11</f>
        <v>JULGAMENTO DE CAUSAS NA JUSTICA FEDERAL</v>
      </c>
      <c r="G11" s="31" t="str">
        <f>IF('Access-Mai'!I11="1","F","S")</f>
        <v>F</v>
      </c>
      <c r="H11" s="31" t="str">
        <f>+'Access-Mai'!J11</f>
        <v>0100</v>
      </c>
      <c r="I11" s="32" t="str">
        <f>+'Access-Mai'!K11</f>
        <v>RECURSOS ORDINARIOS</v>
      </c>
      <c r="J11" s="31" t="str">
        <f>+'Access-Mai'!L11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'Access-Mai'!M11</f>
        <v>2601136</v>
      </c>
      <c r="Q11" s="34"/>
      <c r="R11" s="34">
        <f t="shared" ref="R11:R27" si="1">N11-O11+P11</f>
        <v>2601136</v>
      </c>
      <c r="S11" s="39">
        <f>'Access-Mai'!N11</f>
        <v>47784.28</v>
      </c>
      <c r="T11" s="35">
        <f t="shared" ref="T11:T28" si="2">IF(R11&gt;0,S11/R11,0)</f>
        <v>1.8370542716720693E-2</v>
      </c>
      <c r="U11" s="34">
        <f>'Access-Mai'!O11</f>
        <v>0</v>
      </c>
      <c r="V11" s="35">
        <f t="shared" ref="V11:V28" si="3">IF(R11&gt;0,U11/R11,0)</f>
        <v>0</v>
      </c>
      <c r="W11" s="34">
        <f>'Access-Mai'!P11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+'Access-Mai'!A12</f>
        <v>12104</v>
      </c>
      <c r="B12" s="32" t="str">
        <f>+'Access-Mai'!B12</f>
        <v>TRIBUNAL REGIONAL FEDERAL DA 3A. REGIAO</v>
      </c>
      <c r="C12" s="31" t="str">
        <f>CONCATENATE('Access-Mai'!C12,".",'Access-Mai'!D12)</f>
        <v>02.061</v>
      </c>
      <c r="D12" s="31" t="str">
        <f>CONCATENATE('Access-Mai'!E12,".",'Access-Mai'!G12)</f>
        <v>0569.4257</v>
      </c>
      <c r="E12" s="32" t="str">
        <f>+'Access-Mai'!F12</f>
        <v>PRESTACAO JURISDICIONAL NA JUSTICA FEDERAL</v>
      </c>
      <c r="F12" s="32" t="str">
        <f>+'Access-Mai'!H12</f>
        <v>JULGAMENTO DE CAUSAS NA JUSTICA FEDERAL</v>
      </c>
      <c r="G12" s="31" t="str">
        <f>IF('Access-Mai'!I12="1","F","S")</f>
        <v>F</v>
      </c>
      <c r="H12" s="31" t="str">
        <f>+'Access-Mai'!J12</f>
        <v>0100</v>
      </c>
      <c r="I12" s="32" t="str">
        <f>+'Access-Mai'!K12</f>
        <v>RECURSOS ORDINARIOS</v>
      </c>
      <c r="J12" s="31" t="str">
        <f>+'Access-Mai'!L12</f>
        <v>3</v>
      </c>
      <c r="K12" s="34"/>
      <c r="L12" s="34"/>
      <c r="M12" s="34"/>
      <c r="N12" s="50">
        <f t="shared" si="0"/>
        <v>0</v>
      </c>
      <c r="O12" s="34"/>
      <c r="P12" s="34">
        <f>'Access-Mai'!M12</f>
        <v>52719682</v>
      </c>
      <c r="Q12" s="34"/>
      <c r="R12" s="34">
        <f t="shared" si="1"/>
        <v>52719682</v>
      </c>
      <c r="S12" s="39">
        <f>'Access-Mai'!N12</f>
        <v>37081545.689999998</v>
      </c>
      <c r="T12" s="35">
        <f t="shared" si="2"/>
        <v>0.70337195300229616</v>
      </c>
      <c r="U12" s="34">
        <f>'Access-Mai'!O12</f>
        <v>12899812.869999999</v>
      </c>
      <c r="V12" s="35">
        <f t="shared" si="3"/>
        <v>0.24468684902158552</v>
      </c>
      <c r="W12" s="34">
        <f>'Access-Mai'!P12</f>
        <v>11898443.83</v>
      </c>
      <c r="X12" s="35">
        <f t="shared" si="4"/>
        <v>0.22569263278181381</v>
      </c>
    </row>
    <row r="13" spans="1:24" ht="25.5" customHeight="1" x14ac:dyDescent="0.2">
      <c r="A13" s="31" t="str">
        <f>+'Access-Mai'!A13</f>
        <v>12104</v>
      </c>
      <c r="B13" s="32" t="str">
        <f>+'Access-Mai'!B13</f>
        <v>TRIBUNAL REGIONAL FEDERAL DA 3A. REGIAO</v>
      </c>
      <c r="C13" s="31" t="str">
        <f>CONCATENATE('Access-Mai'!C13,".",'Access-Mai'!D13)</f>
        <v>02.061</v>
      </c>
      <c r="D13" s="31" t="str">
        <f>CONCATENATE('Access-Mai'!E13,".",'Access-Mai'!G13)</f>
        <v>0569.4257</v>
      </c>
      <c r="E13" s="32" t="str">
        <f>+'Access-Mai'!F13</f>
        <v>PRESTACAO JURISDICIONAL NA JUSTICA FEDERAL</v>
      </c>
      <c r="F13" s="32" t="str">
        <f>+'Access-Mai'!H13</f>
        <v>JULGAMENTO DE CAUSAS NA JUSTICA FEDERAL</v>
      </c>
      <c r="G13" s="31" t="str">
        <f>IF('Access-Mai'!I13="1","F","S")</f>
        <v>F</v>
      </c>
      <c r="H13" s="31" t="str">
        <f>+'Access-Mai'!J13</f>
        <v>0127</v>
      </c>
      <c r="I13" s="32" t="str">
        <f>+'Access-Mai'!K13</f>
        <v>CUSTAS E EMOLUMENTOS - PODER JUDICIARIO</v>
      </c>
      <c r="J13" s="31" t="str">
        <f>+'Access-Mai'!L13</f>
        <v>3</v>
      </c>
      <c r="K13" s="34"/>
      <c r="L13" s="34"/>
      <c r="M13" s="34"/>
      <c r="N13" s="50">
        <f t="shared" si="0"/>
        <v>0</v>
      </c>
      <c r="O13" s="34"/>
      <c r="P13" s="34">
        <f>'Access-Mai'!M13</f>
        <v>7243081</v>
      </c>
      <c r="Q13" s="34"/>
      <c r="R13" s="34">
        <f t="shared" si="1"/>
        <v>7243081</v>
      </c>
      <c r="S13" s="39">
        <f>'Access-Mai'!N13</f>
        <v>7159159.6799999997</v>
      </c>
      <c r="T13" s="35">
        <f t="shared" si="2"/>
        <v>0.98841358808495994</v>
      </c>
      <c r="U13" s="34">
        <f>'Access-Mai'!O13</f>
        <v>2923081.2</v>
      </c>
      <c r="V13" s="35">
        <f t="shared" si="3"/>
        <v>0.40356875754944616</v>
      </c>
      <c r="W13" s="34">
        <f>'Access-Mai'!P13</f>
        <v>2923081.2</v>
      </c>
      <c r="X13" s="35">
        <f t="shared" si="4"/>
        <v>0.40356875754944616</v>
      </c>
    </row>
    <row r="14" spans="1:24" ht="25.5" customHeight="1" x14ac:dyDescent="0.2">
      <c r="A14" s="31" t="str">
        <f>+'Access-Mai'!A14</f>
        <v>12104</v>
      </c>
      <c r="B14" s="32" t="str">
        <f>+'Access-Mai'!B14</f>
        <v>TRIBUNAL REGIONAL FEDERAL DA 3A. REGIAO</v>
      </c>
      <c r="C14" s="31" t="str">
        <f>CONCATENATE('Access-Mai'!C14,".",'Access-Mai'!D14)</f>
        <v>02.061</v>
      </c>
      <c r="D14" s="31" t="str">
        <f>CONCATENATE('Access-Mai'!E14,".",'Access-Mai'!G14)</f>
        <v>0569.4257</v>
      </c>
      <c r="E14" s="32" t="str">
        <f>+'Access-Mai'!F14</f>
        <v>PRESTACAO JURISDICIONAL NA JUSTICA FEDERAL</v>
      </c>
      <c r="F14" s="32" t="str">
        <f>+'Access-Mai'!H14</f>
        <v>JULGAMENTO DE CAUSAS NA JUSTICA FEDERAL</v>
      </c>
      <c r="G14" s="31" t="str">
        <f>IF('Access-Mai'!I14="1","F","S")</f>
        <v>F</v>
      </c>
      <c r="H14" s="31" t="str">
        <f>+'Access-Mai'!J14</f>
        <v>0181</v>
      </c>
      <c r="I14" s="32" t="str">
        <f>+'Access-Mai'!K14</f>
        <v>RECURSOS DE CONVENIOS</v>
      </c>
      <c r="J14" s="31" t="str">
        <f>+'Access-Mai'!L14</f>
        <v>4</v>
      </c>
      <c r="K14" s="34"/>
      <c r="L14" s="34"/>
      <c r="M14" s="34"/>
      <c r="N14" s="50">
        <f t="shared" si="0"/>
        <v>0</v>
      </c>
      <c r="O14" s="34"/>
      <c r="P14" s="34">
        <f>'Access-Mai'!M14</f>
        <v>3394236</v>
      </c>
      <c r="Q14" s="34"/>
      <c r="R14" s="34">
        <f t="shared" si="1"/>
        <v>3394236</v>
      </c>
      <c r="S14" s="39">
        <f>'Access-Mai'!N14</f>
        <v>0</v>
      </c>
      <c r="T14" s="35">
        <f t="shared" si="2"/>
        <v>0</v>
      </c>
      <c r="U14" s="34">
        <f>'Access-Mai'!O14</f>
        <v>0</v>
      </c>
      <c r="V14" s="35">
        <f t="shared" si="3"/>
        <v>0</v>
      </c>
      <c r="W14" s="34">
        <f>'Access-Mai'!P14</f>
        <v>0</v>
      </c>
      <c r="X14" s="35">
        <f t="shared" si="4"/>
        <v>0</v>
      </c>
    </row>
    <row r="15" spans="1:24" ht="25.5" customHeight="1" x14ac:dyDescent="0.2">
      <c r="A15" s="31" t="str">
        <f>+'Access-Mai'!A15</f>
        <v>12104</v>
      </c>
      <c r="B15" s="32" t="str">
        <f>+'Access-Mai'!B15</f>
        <v>TRIBUNAL REGIONAL FEDERAL DA 3A. REGIAO</v>
      </c>
      <c r="C15" s="31" t="str">
        <f>CONCATENATE('Access-Mai'!C15,".",'Access-Mai'!D15)</f>
        <v>02.122</v>
      </c>
      <c r="D15" s="31" t="str">
        <f>CONCATENATE('Access-Mai'!E15,".",'Access-Mai'!G15)</f>
        <v>0569.15NZ</v>
      </c>
      <c r="E15" s="32" t="str">
        <f>+'Access-Mai'!F15</f>
        <v>PRESTACAO JURISDICIONAL NA JUSTICA FEDERAL</v>
      </c>
      <c r="F15" s="32" t="str">
        <f>+'Access-Mai'!H15</f>
        <v>REFORMA DO EDIFICIO-SEDE DO TRIBUNAL REGIONAL FEDERAL DA 3.</v>
      </c>
      <c r="G15" s="31" t="str">
        <f>IF('Access-Mai'!I15="1","F","S")</f>
        <v>F</v>
      </c>
      <c r="H15" s="31" t="str">
        <f>+'Access-Mai'!J15</f>
        <v>0100</v>
      </c>
      <c r="I15" s="32" t="str">
        <f>+'Access-Mai'!K15</f>
        <v>RECURSOS ORDINARIOS</v>
      </c>
      <c r="J15" s="31" t="str">
        <f>+'Access-Mai'!L15</f>
        <v>4</v>
      </c>
      <c r="K15" s="50"/>
      <c r="L15" s="50"/>
      <c r="M15" s="50"/>
      <c r="N15" s="50">
        <f t="shared" si="0"/>
        <v>0</v>
      </c>
      <c r="O15" s="50"/>
      <c r="P15" s="34">
        <f>'Access-Mai'!M15</f>
        <v>5109000</v>
      </c>
      <c r="Q15" s="34"/>
      <c r="R15" s="34">
        <f t="shared" si="1"/>
        <v>5109000</v>
      </c>
      <c r="S15" s="39">
        <f>'Access-Mai'!N15</f>
        <v>0</v>
      </c>
      <c r="T15" s="35">
        <f t="shared" si="2"/>
        <v>0</v>
      </c>
      <c r="U15" s="34">
        <f>'Access-Mai'!O15</f>
        <v>0</v>
      </c>
      <c r="V15" s="35">
        <f t="shared" si="3"/>
        <v>0</v>
      </c>
      <c r="W15" s="34">
        <f>'Access-Mai'!P15</f>
        <v>0</v>
      </c>
      <c r="X15" s="35">
        <f t="shared" si="4"/>
        <v>0</v>
      </c>
    </row>
    <row r="16" spans="1:24" ht="25.5" customHeight="1" x14ac:dyDescent="0.2">
      <c r="A16" s="31" t="str">
        <f>+'Access-Mai'!A16</f>
        <v>12104</v>
      </c>
      <c r="B16" s="32" t="str">
        <f>+'Access-Mai'!B16</f>
        <v>TRIBUNAL REGIONAL FEDERAL DA 3A. REGIAO</v>
      </c>
      <c r="C16" s="31" t="str">
        <f>CONCATENATE('Access-Mai'!C16,".",'Access-Mai'!D16)</f>
        <v>02.122</v>
      </c>
      <c r="D16" s="31" t="str">
        <f>CONCATENATE('Access-Mai'!E16,".",'Access-Mai'!G16)</f>
        <v>0569.15PC</v>
      </c>
      <c r="E16" s="32" t="str">
        <f>+'Access-Mai'!F16</f>
        <v>PRESTACAO JURISDICIONAL NA JUSTICA FEDERAL</v>
      </c>
      <c r="F16" s="32" t="str">
        <f>+'Access-Mai'!H16</f>
        <v>AQUISICAO DE IMOVEIS PARA FUNCIONAMENTO DO TRF3 DA 3. REGIAO</v>
      </c>
      <c r="G16" s="31" t="str">
        <f>IF('Access-Mai'!I16="1","F","S")</f>
        <v>F</v>
      </c>
      <c r="H16" s="31" t="str">
        <f>+'Access-Mai'!J16</f>
        <v>0181</v>
      </c>
      <c r="I16" s="32" t="str">
        <f>+'Access-Mai'!K16</f>
        <v>RECURSOS DE CONVENIOS</v>
      </c>
      <c r="J16" s="31" t="str">
        <f>+'Access-Mai'!L16</f>
        <v>5</v>
      </c>
      <c r="K16" s="34"/>
      <c r="L16" s="34"/>
      <c r="M16" s="34"/>
      <c r="N16" s="50">
        <f t="shared" si="0"/>
        <v>0</v>
      </c>
      <c r="O16" s="34"/>
      <c r="P16" s="34">
        <f>'Access-Mai'!M16</f>
        <v>9000000</v>
      </c>
      <c r="Q16" s="34"/>
      <c r="R16" s="34">
        <f t="shared" si="1"/>
        <v>9000000</v>
      </c>
      <c r="S16" s="39">
        <f>'Access-Mai'!N16</f>
        <v>0</v>
      </c>
      <c r="T16" s="35">
        <f t="shared" si="2"/>
        <v>0</v>
      </c>
      <c r="U16" s="34">
        <f>'Access-Mai'!O16</f>
        <v>0</v>
      </c>
      <c r="V16" s="35">
        <f t="shared" si="3"/>
        <v>0</v>
      </c>
      <c r="W16" s="34">
        <f>'Access-Mai'!P16</f>
        <v>0</v>
      </c>
      <c r="X16" s="35">
        <f t="shared" si="4"/>
        <v>0</v>
      </c>
    </row>
    <row r="17" spans="1:24" ht="25.5" customHeight="1" x14ac:dyDescent="0.2">
      <c r="A17" s="31" t="str">
        <f>+'Access-Mai'!A17</f>
        <v>12104</v>
      </c>
      <c r="B17" s="32" t="str">
        <f>+'Access-Mai'!B17</f>
        <v>TRIBUNAL REGIONAL FEDERAL DA 3A. REGIAO</v>
      </c>
      <c r="C17" s="31" t="str">
        <f>CONCATENATE('Access-Mai'!C17,".",'Access-Mai'!D17)</f>
        <v>02.122</v>
      </c>
      <c r="D17" s="31" t="str">
        <f>CONCATENATE('Access-Mai'!E17,".",'Access-Mai'!G17)</f>
        <v>0569.20TP</v>
      </c>
      <c r="E17" s="32" t="str">
        <f>+'Access-Mai'!F17</f>
        <v>PRESTACAO JURISDICIONAL NA JUSTICA FEDERAL</v>
      </c>
      <c r="F17" s="32" t="str">
        <f>+'Access-Mai'!H17</f>
        <v>ATIVOS CIVIS DA UNIAO</v>
      </c>
      <c r="G17" s="31" t="str">
        <f>IF('Access-Mai'!I17="1","F","S")</f>
        <v>F</v>
      </c>
      <c r="H17" s="31" t="str">
        <f>+'Access-Mai'!J17</f>
        <v>0100</v>
      </c>
      <c r="I17" s="32" t="str">
        <f>+'Access-Mai'!K17</f>
        <v>RECURSOS ORDINARIOS</v>
      </c>
      <c r="J17" s="31" t="str">
        <f>+'Access-Mai'!L17</f>
        <v>1</v>
      </c>
      <c r="K17" s="34"/>
      <c r="L17" s="34"/>
      <c r="M17" s="34"/>
      <c r="N17" s="50">
        <f t="shared" si="0"/>
        <v>0</v>
      </c>
      <c r="O17" s="34"/>
      <c r="P17" s="34">
        <f>'Access-Mai'!M17</f>
        <v>164984847.47</v>
      </c>
      <c r="Q17" s="34"/>
      <c r="R17" s="34">
        <f t="shared" si="1"/>
        <v>164984847.47</v>
      </c>
      <c r="S17" s="39">
        <f>'Access-Mai'!N17</f>
        <v>164984847.47</v>
      </c>
      <c r="T17" s="35">
        <f t="shared" si="2"/>
        <v>1</v>
      </c>
      <c r="U17" s="34">
        <f>'Access-Mai'!O17</f>
        <v>164984138.33000001</v>
      </c>
      <c r="V17" s="35">
        <f t="shared" si="3"/>
        <v>0.99999570178709829</v>
      </c>
      <c r="W17" s="34">
        <f>'Access-Mai'!P17</f>
        <v>163312910.06</v>
      </c>
      <c r="X17" s="35">
        <f t="shared" si="4"/>
        <v>0.98986611536975233</v>
      </c>
    </row>
    <row r="18" spans="1:24" ht="25.5" customHeight="1" x14ac:dyDescent="0.2">
      <c r="A18" s="31" t="str">
        <f>+'Access-Mai'!A18</f>
        <v>12104</v>
      </c>
      <c r="B18" s="32" t="str">
        <f>+'Access-Mai'!B18</f>
        <v>TRIBUNAL REGIONAL FEDERAL DA 3A. REGIAO</v>
      </c>
      <c r="C18" s="31" t="str">
        <f>CONCATENATE('Access-Mai'!C18,".",'Access-Mai'!D18)</f>
        <v>02.122</v>
      </c>
      <c r="D18" s="31" t="str">
        <f>CONCATENATE('Access-Mai'!E18,".",'Access-Mai'!G18)</f>
        <v>0569.216H</v>
      </c>
      <c r="E18" s="32" t="str">
        <f>+'Access-Mai'!F18</f>
        <v>PRESTACAO JURISDICIONAL NA JUSTICA FEDERAL</v>
      </c>
      <c r="F18" s="32" t="str">
        <f>+'Access-Mai'!H18</f>
        <v>AJUDA DE CUSTO PARA MORADIA OU AUXILIO-MORADIA A AGENTES PUB</v>
      </c>
      <c r="G18" s="31" t="str">
        <f>IF('Access-Mai'!I18="1","F","S")</f>
        <v>F</v>
      </c>
      <c r="H18" s="31" t="str">
        <f>+'Access-Mai'!J18</f>
        <v>0100</v>
      </c>
      <c r="I18" s="32" t="str">
        <f>+'Access-Mai'!K18</f>
        <v>RECURSOS ORDINARIOS</v>
      </c>
      <c r="J18" s="31" t="str">
        <f>+'Access-Mai'!L18</f>
        <v>3</v>
      </c>
      <c r="K18" s="50"/>
      <c r="L18" s="50"/>
      <c r="M18" s="50"/>
      <c r="N18" s="50">
        <f t="shared" si="0"/>
        <v>0</v>
      </c>
      <c r="O18" s="50"/>
      <c r="P18" s="34">
        <f>'Access-Mai'!M18</f>
        <v>2442858</v>
      </c>
      <c r="Q18" s="34"/>
      <c r="R18" s="34">
        <f t="shared" si="1"/>
        <v>2442858</v>
      </c>
      <c r="S18" s="39">
        <f>'Access-Mai'!N18</f>
        <v>1018052.92</v>
      </c>
      <c r="T18" s="35">
        <f t="shared" si="2"/>
        <v>0.41674666312982583</v>
      </c>
      <c r="U18" s="34">
        <f>'Access-Mai'!O18</f>
        <v>932819.92</v>
      </c>
      <c r="V18" s="35">
        <f t="shared" si="3"/>
        <v>0.38185597361778706</v>
      </c>
      <c r="W18" s="34">
        <f>'Access-Mai'!P18</f>
        <v>932819.92</v>
      </c>
      <c r="X18" s="35">
        <f t="shared" si="4"/>
        <v>0.38185597361778706</v>
      </c>
    </row>
    <row r="19" spans="1:24" ht="25.5" customHeight="1" x14ac:dyDescent="0.2">
      <c r="A19" s="31" t="str">
        <f>+'Access-Mai'!A19</f>
        <v>12104</v>
      </c>
      <c r="B19" s="32" t="str">
        <f>+'Access-Mai'!B19</f>
        <v>TRIBUNAL REGIONAL FEDERAL DA 3A. REGIAO</v>
      </c>
      <c r="C19" s="31" t="str">
        <f>CONCATENATE('Access-Mai'!C19,".",'Access-Mai'!D19)</f>
        <v>02.126</v>
      </c>
      <c r="D19" s="31" t="str">
        <f>CONCATENATE('Access-Mai'!E19,".",'Access-Mai'!G19)</f>
        <v>0569.151W</v>
      </c>
      <c r="E19" s="32" t="str">
        <f>+'Access-Mai'!F19</f>
        <v>PRESTACAO JURISDICIONAL NA JUSTICA FEDERAL</v>
      </c>
      <c r="F19" s="32" t="str">
        <f>+'Access-Mai'!H19</f>
        <v>DESENVOLVIMENTO E IMPLANTACAO DO SISTEMA PROCESSO JUDICIAL E</v>
      </c>
      <c r="G19" s="31" t="str">
        <f>IF('Access-Mai'!I19="1","F","S")</f>
        <v>F</v>
      </c>
      <c r="H19" s="31" t="str">
        <f>+'Access-Mai'!J19</f>
        <v>0100</v>
      </c>
      <c r="I19" s="32" t="str">
        <f>+'Access-Mai'!K19</f>
        <v>RECURSOS ORDINARIOS</v>
      </c>
      <c r="J19" s="31" t="str">
        <f>+'Access-Mai'!L19</f>
        <v>4</v>
      </c>
      <c r="K19" s="50"/>
      <c r="L19" s="50"/>
      <c r="M19" s="50"/>
      <c r="N19" s="50">
        <f t="shared" si="0"/>
        <v>0</v>
      </c>
      <c r="O19" s="50"/>
      <c r="P19" s="34">
        <f>'Access-Mai'!M19</f>
        <v>658450</v>
      </c>
      <c r="Q19" s="34"/>
      <c r="R19" s="34">
        <f t="shared" si="1"/>
        <v>658450</v>
      </c>
      <c r="S19" s="39">
        <f>'Access-Mai'!N19</f>
        <v>0</v>
      </c>
      <c r="T19" s="35">
        <f t="shared" si="2"/>
        <v>0</v>
      </c>
      <c r="U19" s="34">
        <f>'Access-Mai'!O19</f>
        <v>0</v>
      </c>
      <c r="V19" s="35">
        <f t="shared" si="3"/>
        <v>0</v>
      </c>
      <c r="W19" s="34">
        <f>'Access-Mai'!P19</f>
        <v>0</v>
      </c>
      <c r="X19" s="35">
        <f t="shared" si="4"/>
        <v>0</v>
      </c>
    </row>
    <row r="20" spans="1:24" ht="25.5" customHeight="1" x14ac:dyDescent="0.2">
      <c r="A20" s="31" t="str">
        <f>+'Access-Mai'!A20</f>
        <v>12104</v>
      </c>
      <c r="B20" s="32" t="str">
        <f>+'Access-Mai'!B20</f>
        <v>TRIBUNAL REGIONAL FEDERAL DA 3A. REGIAO</v>
      </c>
      <c r="C20" s="31" t="str">
        <f>CONCATENATE('Access-Mai'!C20,".",'Access-Mai'!D20)</f>
        <v>02.126</v>
      </c>
      <c r="D20" s="31" t="str">
        <f>CONCATENATE('Access-Mai'!E20,".",'Access-Mai'!G20)</f>
        <v>0569.151W</v>
      </c>
      <c r="E20" s="32" t="str">
        <f>+'Access-Mai'!F20</f>
        <v>PRESTACAO JURISDICIONAL NA JUSTICA FEDERAL</v>
      </c>
      <c r="F20" s="32" t="str">
        <f>+'Access-Mai'!H20</f>
        <v>DESENVOLVIMENTO E IMPLANTACAO DO SISTEMA PROCESSO JUDICIAL E</v>
      </c>
      <c r="G20" s="31" t="str">
        <f>IF('Access-Mai'!I20="1","F","S")</f>
        <v>F</v>
      </c>
      <c r="H20" s="31" t="str">
        <f>+'Access-Mai'!J20</f>
        <v>0100</v>
      </c>
      <c r="I20" s="32" t="str">
        <f>+'Access-Mai'!K20</f>
        <v>RECURSOS ORDINARIOS</v>
      </c>
      <c r="J20" s="31" t="str">
        <f>+'Access-Mai'!L20</f>
        <v>3</v>
      </c>
      <c r="K20" s="50"/>
      <c r="L20" s="50"/>
      <c r="M20" s="50"/>
      <c r="N20" s="50">
        <f t="shared" si="0"/>
        <v>0</v>
      </c>
      <c r="O20" s="50"/>
      <c r="P20" s="34">
        <f>'Access-Mai'!M20</f>
        <v>603773</v>
      </c>
      <c r="Q20" s="34"/>
      <c r="R20" s="34">
        <f t="shared" si="1"/>
        <v>603773</v>
      </c>
      <c r="S20" s="39">
        <f>'Access-Mai'!N20</f>
        <v>594734</v>
      </c>
      <c r="T20" s="35">
        <f t="shared" si="2"/>
        <v>0.98502914174698109</v>
      </c>
      <c r="U20" s="34">
        <f>'Access-Mai'!O20</f>
        <v>146428.78</v>
      </c>
      <c r="V20" s="35">
        <f t="shared" si="3"/>
        <v>0.24252290181906114</v>
      </c>
      <c r="W20" s="34">
        <f>'Access-Mai'!P20</f>
        <v>126535.23</v>
      </c>
      <c r="X20" s="35">
        <f t="shared" si="4"/>
        <v>0.20957417771248465</v>
      </c>
    </row>
    <row r="21" spans="1:24" ht="25.5" customHeight="1" x14ac:dyDescent="0.2">
      <c r="A21" s="31" t="str">
        <f>+'Access-Mai'!A21</f>
        <v>12104</v>
      </c>
      <c r="B21" s="32" t="str">
        <f>+'Access-Mai'!B21</f>
        <v>TRIBUNAL REGIONAL FEDERAL DA 3A. REGIAO</v>
      </c>
      <c r="C21" s="31" t="str">
        <f>CONCATENATE('Access-Mai'!C21,".",'Access-Mai'!D21)</f>
        <v>02.131</v>
      </c>
      <c r="D21" s="31" t="str">
        <f>CONCATENATE('Access-Mai'!E21,".",'Access-Mai'!G21)</f>
        <v>0569.2549</v>
      </c>
      <c r="E21" s="32" t="str">
        <f>+'Access-Mai'!F21</f>
        <v>PRESTACAO JURISDICIONAL NA JUSTICA FEDERAL</v>
      </c>
      <c r="F21" s="32" t="str">
        <f>+'Access-Mai'!H21</f>
        <v>COMUNICACAO E DIVULGACAO INSTITUCIONAL</v>
      </c>
      <c r="G21" s="31" t="str">
        <f>IF('Access-Mai'!I21="1","F","S")</f>
        <v>F</v>
      </c>
      <c r="H21" s="31" t="str">
        <f>+'Access-Mai'!J21</f>
        <v>0100</v>
      </c>
      <c r="I21" s="32" t="str">
        <f>+'Access-Mai'!K21</f>
        <v>RECURSOS ORDINARIOS</v>
      </c>
      <c r="J21" s="31" t="str">
        <f>+'Access-Mai'!L21</f>
        <v>3</v>
      </c>
      <c r="K21" s="50"/>
      <c r="L21" s="50"/>
      <c r="M21" s="50"/>
      <c r="N21" s="50">
        <f t="shared" si="0"/>
        <v>0</v>
      </c>
      <c r="O21" s="50"/>
      <c r="P21" s="34">
        <f>'Access-Mai'!M21</f>
        <v>560609</v>
      </c>
      <c r="Q21" s="34"/>
      <c r="R21" s="34">
        <f t="shared" si="1"/>
        <v>560609</v>
      </c>
      <c r="S21" s="39">
        <f>'Access-Mai'!N21</f>
        <v>483456.48</v>
      </c>
      <c r="T21" s="35">
        <f t="shared" si="2"/>
        <v>0.86237730753519826</v>
      </c>
      <c r="U21" s="34">
        <f>'Access-Mai'!O21</f>
        <v>167050.84</v>
      </c>
      <c r="V21" s="35">
        <f t="shared" si="3"/>
        <v>0.29798101707250507</v>
      </c>
      <c r="W21" s="34">
        <f>'Access-Mai'!P21</f>
        <v>167050.84</v>
      </c>
      <c r="X21" s="35">
        <f t="shared" si="4"/>
        <v>0.29798101707250507</v>
      </c>
    </row>
    <row r="22" spans="1:24" ht="25.5" customHeight="1" x14ac:dyDescent="0.2">
      <c r="A22" s="31" t="str">
        <f>+'Access-Mai'!A22</f>
        <v>12104</v>
      </c>
      <c r="B22" s="32" t="str">
        <f>+'Access-Mai'!B22</f>
        <v>TRIBUNAL REGIONAL FEDERAL DA 3A. REGIAO</v>
      </c>
      <c r="C22" s="31" t="str">
        <f>CONCATENATE('Access-Mai'!C22,".",'Access-Mai'!D22)</f>
        <v>02.301</v>
      </c>
      <c r="D22" s="31" t="str">
        <f>CONCATENATE('Access-Mai'!E22,".",'Access-Mai'!G22)</f>
        <v>0569.2004</v>
      </c>
      <c r="E22" s="32" t="str">
        <f>+'Access-Mai'!F22</f>
        <v>PRESTACAO JURISDICIONAL NA JUSTICA FEDERAL</v>
      </c>
      <c r="F22" s="32" t="str">
        <f>+'Access-Mai'!H22</f>
        <v>ASSISTENCIA MEDICA E ODONTOLOGICA AOS SERVIDORES CIVIS, EMPR</v>
      </c>
      <c r="G22" s="31" t="str">
        <f>IF('Access-Mai'!I22="1","F","S")</f>
        <v>S</v>
      </c>
      <c r="H22" s="31" t="str">
        <f>+'Access-Mai'!J22</f>
        <v>0100</v>
      </c>
      <c r="I22" s="32" t="str">
        <f>+'Access-Mai'!K22</f>
        <v>RECURSOS ORDINARIOS</v>
      </c>
      <c r="J22" s="31" t="str">
        <f>+'Access-Mai'!L22</f>
        <v>4</v>
      </c>
      <c r="K22" s="50"/>
      <c r="L22" s="50"/>
      <c r="M22" s="50"/>
      <c r="N22" s="50">
        <f t="shared" si="0"/>
        <v>0</v>
      </c>
      <c r="O22" s="50"/>
      <c r="P22" s="34">
        <f>'Access-Mai'!M22</f>
        <v>15000</v>
      </c>
      <c r="Q22" s="34"/>
      <c r="R22" s="34">
        <f t="shared" si="1"/>
        <v>15000</v>
      </c>
      <c r="S22" s="39">
        <f>'Access-Mai'!N22</f>
        <v>0</v>
      </c>
      <c r="T22" s="35">
        <f t="shared" si="2"/>
        <v>0</v>
      </c>
      <c r="U22" s="34">
        <f>'Access-Mai'!O22</f>
        <v>0</v>
      </c>
      <c r="V22" s="35">
        <f t="shared" si="3"/>
        <v>0</v>
      </c>
      <c r="W22" s="34">
        <f>'Access-Mai'!P22</f>
        <v>0</v>
      </c>
      <c r="X22" s="35">
        <f t="shared" si="4"/>
        <v>0</v>
      </c>
    </row>
    <row r="23" spans="1:24" ht="25.5" customHeight="1" x14ac:dyDescent="0.2">
      <c r="A23" s="31" t="str">
        <f>+'Access-Mai'!A23</f>
        <v>12104</v>
      </c>
      <c r="B23" s="32" t="str">
        <f>+'Access-Mai'!B23</f>
        <v>TRIBUNAL REGIONAL FEDERAL DA 3A. REGIAO</v>
      </c>
      <c r="C23" s="31" t="str">
        <f>CONCATENATE('Access-Mai'!C23,".",'Access-Mai'!D23)</f>
        <v>02.301</v>
      </c>
      <c r="D23" s="31" t="str">
        <f>CONCATENATE('Access-Mai'!E23,".",'Access-Mai'!G23)</f>
        <v>0569.2004</v>
      </c>
      <c r="E23" s="32" t="str">
        <f>+'Access-Mai'!F23</f>
        <v>PRESTACAO JURISDICIONAL NA JUSTICA FEDERAL</v>
      </c>
      <c r="F23" s="32" t="str">
        <f>+'Access-Mai'!H23</f>
        <v>ASSISTENCIA MEDICA E ODONTOLOGICA AOS SERVIDORES CIVIS, EMPR</v>
      </c>
      <c r="G23" s="31" t="str">
        <f>IF('Access-Mai'!I23="1","F","S")</f>
        <v>S</v>
      </c>
      <c r="H23" s="31" t="str">
        <f>+'Access-Mai'!J23</f>
        <v>0100</v>
      </c>
      <c r="I23" s="32" t="str">
        <f>+'Access-Mai'!K23</f>
        <v>RECURSOS ORDINARIOS</v>
      </c>
      <c r="J23" s="31" t="str">
        <f>+'Access-Mai'!L23</f>
        <v>3</v>
      </c>
      <c r="K23" s="50"/>
      <c r="L23" s="50"/>
      <c r="M23" s="50"/>
      <c r="N23" s="50">
        <f t="shared" si="0"/>
        <v>0</v>
      </c>
      <c r="O23" s="50"/>
      <c r="P23" s="34">
        <f>'Access-Mai'!M23</f>
        <v>12294825</v>
      </c>
      <c r="Q23" s="34"/>
      <c r="R23" s="34">
        <f t="shared" si="1"/>
        <v>12294825</v>
      </c>
      <c r="S23" s="39">
        <f>'Access-Mai'!N23</f>
        <v>7893400</v>
      </c>
      <c r="T23" s="35">
        <f t="shared" si="2"/>
        <v>0.64200995134131633</v>
      </c>
      <c r="U23" s="34">
        <f>'Access-Mai'!O23</f>
        <v>4071455.57</v>
      </c>
      <c r="V23" s="35">
        <f t="shared" si="3"/>
        <v>0.33115197410292541</v>
      </c>
      <c r="W23" s="34">
        <f>'Access-Mai'!P23</f>
        <v>4071455.57</v>
      </c>
      <c r="X23" s="35">
        <f t="shared" si="4"/>
        <v>0.33115197410292541</v>
      </c>
    </row>
    <row r="24" spans="1:24" ht="25.5" customHeight="1" x14ac:dyDescent="0.2">
      <c r="A24" s="31" t="str">
        <f>+'Access-Mai'!A24</f>
        <v>12104</v>
      </c>
      <c r="B24" s="32" t="str">
        <f>+'Access-Mai'!B24</f>
        <v>TRIBUNAL REGIONAL FEDERAL DA 3A. REGIAO</v>
      </c>
      <c r="C24" s="31" t="str">
        <f>CONCATENATE('Access-Mai'!C24,".",'Access-Mai'!D24)</f>
        <v>02.331</v>
      </c>
      <c r="D24" s="31" t="str">
        <f>CONCATENATE('Access-Mai'!E24,".",'Access-Mai'!G24)</f>
        <v>0569.212B</v>
      </c>
      <c r="E24" s="32" t="str">
        <f>+'Access-Mai'!F24</f>
        <v>PRESTACAO JURISDICIONAL NA JUSTICA FEDERAL</v>
      </c>
      <c r="F24" s="32" t="str">
        <f>+'Access-Mai'!H24</f>
        <v>BENEFICIOS OBRIGATORIOS AOS SERVIDORES CIVIS, EMPREGADOS, MI</v>
      </c>
      <c r="G24" s="31" t="str">
        <f>IF('Access-Mai'!I24="1","F","S")</f>
        <v>F</v>
      </c>
      <c r="H24" s="31" t="str">
        <f>+'Access-Mai'!J24</f>
        <v>0100</v>
      </c>
      <c r="I24" s="32" t="str">
        <f>+'Access-Mai'!K24</f>
        <v>RECURSOS ORDINARIOS</v>
      </c>
      <c r="J24" s="31" t="str">
        <f>+'Access-Mai'!L24</f>
        <v>3</v>
      </c>
      <c r="K24" s="50"/>
      <c r="L24" s="50"/>
      <c r="M24" s="50"/>
      <c r="N24" s="50">
        <f t="shared" si="0"/>
        <v>0</v>
      </c>
      <c r="O24" s="50"/>
      <c r="P24" s="34">
        <f>'Access-Mai'!M24</f>
        <v>23002840.800000001</v>
      </c>
      <c r="Q24" s="34"/>
      <c r="R24" s="34">
        <f t="shared" si="1"/>
        <v>23002840.800000001</v>
      </c>
      <c r="S24" s="39">
        <f>'Access-Mai'!N24</f>
        <v>23002840.800000001</v>
      </c>
      <c r="T24" s="35">
        <f t="shared" si="2"/>
        <v>1</v>
      </c>
      <c r="U24" s="34">
        <f>'Access-Mai'!O24</f>
        <v>9339443.5</v>
      </c>
      <c r="V24" s="35">
        <f t="shared" si="3"/>
        <v>0.40601261301604102</v>
      </c>
      <c r="W24" s="34">
        <f>'Access-Mai'!P24</f>
        <v>9339443.5</v>
      </c>
      <c r="X24" s="35">
        <f t="shared" si="4"/>
        <v>0.40601261301604102</v>
      </c>
    </row>
    <row r="25" spans="1:24" ht="25.5" customHeight="1" x14ac:dyDescent="0.2">
      <c r="A25" s="31" t="str">
        <f>+'Access-Mai'!A25</f>
        <v>12104</v>
      </c>
      <c r="B25" s="32" t="str">
        <f>+'Access-Mai'!B25</f>
        <v>TRIBUNAL REGIONAL FEDERAL DA 3A. REGIAO</v>
      </c>
      <c r="C25" s="31" t="str">
        <f>CONCATENATE('Access-Mai'!C25,".",'Access-Mai'!D25)</f>
        <v>02.846</v>
      </c>
      <c r="D25" s="31" t="str">
        <f>CONCATENATE('Access-Mai'!E25,".",'Access-Mai'!G25)</f>
        <v>0569.09HB</v>
      </c>
      <c r="E25" s="32" t="str">
        <f>+'Access-Mai'!F25</f>
        <v>PRESTACAO JURISDICIONAL NA JUSTICA FEDERAL</v>
      </c>
      <c r="F25" s="32" t="str">
        <f>+'Access-Mai'!H25</f>
        <v>CONTRIBUICAO DA UNIAO, DE SUAS AUTARQUIAS E FUNDACOES PARA O</v>
      </c>
      <c r="G25" s="31" t="str">
        <f>IF('Access-Mai'!I25="1","F","S")</f>
        <v>F</v>
      </c>
      <c r="H25" s="31" t="str">
        <f>+'Access-Mai'!J25</f>
        <v>0100</v>
      </c>
      <c r="I25" s="32" t="str">
        <f>+'Access-Mai'!K25</f>
        <v>RECURSOS ORDINARIOS</v>
      </c>
      <c r="J25" s="31" t="str">
        <f>+'Access-Mai'!L25</f>
        <v>1</v>
      </c>
      <c r="K25" s="50"/>
      <c r="L25" s="50"/>
      <c r="M25" s="50"/>
      <c r="N25" s="50">
        <f t="shared" si="0"/>
        <v>0</v>
      </c>
      <c r="O25" s="50"/>
      <c r="P25" s="34">
        <f>'Access-Mai'!M25</f>
        <v>26499654.68</v>
      </c>
      <c r="Q25" s="34"/>
      <c r="R25" s="34">
        <f t="shared" si="1"/>
        <v>26499654.68</v>
      </c>
      <c r="S25" s="39">
        <f>'Access-Mai'!N25</f>
        <v>26499654.68</v>
      </c>
      <c r="T25" s="35">
        <f t="shared" si="2"/>
        <v>1</v>
      </c>
      <c r="U25" s="34">
        <f>'Access-Mai'!O25</f>
        <v>26499654.68</v>
      </c>
      <c r="V25" s="35">
        <f t="shared" si="3"/>
        <v>1</v>
      </c>
      <c r="W25" s="34">
        <f>'Access-Mai'!P25</f>
        <v>26499654.68</v>
      </c>
      <c r="X25" s="35">
        <f t="shared" si="4"/>
        <v>1</v>
      </c>
    </row>
    <row r="26" spans="1:24" ht="25.5" customHeight="1" x14ac:dyDescent="0.2">
      <c r="A26" s="31" t="str">
        <f>+'Access-Mai'!A26</f>
        <v>12104</v>
      </c>
      <c r="B26" s="32" t="str">
        <f>+'Access-Mai'!B26</f>
        <v>TRIBUNAL REGIONAL FEDERAL DA 3A. REGIAO</v>
      </c>
      <c r="C26" s="31" t="str">
        <f>CONCATENATE('Access-Mai'!C26,".",'Access-Mai'!D26)</f>
        <v>09.272</v>
      </c>
      <c r="D26" s="31" t="str">
        <f>CONCATENATE('Access-Mai'!E26,".",'Access-Mai'!G26)</f>
        <v>0089.0181</v>
      </c>
      <c r="E26" s="32" t="str">
        <f>+'Access-Mai'!F26</f>
        <v>PREVIDENCIA DE INATIVOS E PENSIONISTAS DA UNIAO</v>
      </c>
      <c r="F26" s="32" t="str">
        <f>+'Access-Mai'!H26</f>
        <v>APOSENTADORIAS E PENSOES CIVIS DA UNIAO</v>
      </c>
      <c r="G26" s="31" t="str">
        <f>IF('Access-Mai'!I26="1","F","S")</f>
        <v>S</v>
      </c>
      <c r="H26" s="31" t="str">
        <f>+'Access-Mai'!J26</f>
        <v>0169</v>
      </c>
      <c r="I26" s="32" t="str">
        <f>+'Access-Mai'!K26</f>
        <v>CONTRIB.PATRONAL P/PLANO DE SEGURID.SOC.SERV.</v>
      </c>
      <c r="J26" s="31" t="str">
        <f>+'Access-Mai'!L26</f>
        <v>1</v>
      </c>
      <c r="K26" s="50"/>
      <c r="L26" s="50"/>
      <c r="M26" s="50"/>
      <c r="N26" s="50">
        <f t="shared" si="0"/>
        <v>0</v>
      </c>
      <c r="O26" s="50"/>
      <c r="P26" s="34">
        <f>'Access-Mai'!M26</f>
        <v>47809846.020000003</v>
      </c>
      <c r="Q26" s="34"/>
      <c r="R26" s="34">
        <f t="shared" si="1"/>
        <v>47809846.020000003</v>
      </c>
      <c r="S26" s="39">
        <f>'Access-Mai'!N26</f>
        <v>47809846.020000003</v>
      </c>
      <c r="T26" s="35">
        <f t="shared" si="2"/>
        <v>1</v>
      </c>
      <c r="U26" s="34">
        <f>'Access-Mai'!O26</f>
        <v>47809846.020000003</v>
      </c>
      <c r="V26" s="35">
        <f t="shared" si="3"/>
        <v>1</v>
      </c>
      <c r="W26" s="34">
        <f>'Access-Mai'!P26</f>
        <v>47293563.219999999</v>
      </c>
      <c r="X26" s="35">
        <f t="shared" si="4"/>
        <v>0.98920132895253354</v>
      </c>
    </row>
    <row r="27" spans="1:24" ht="25.5" customHeight="1" thickBot="1" x14ac:dyDescent="0.25">
      <c r="A27" s="31" t="str">
        <f>+'Access-Mai'!A27</f>
        <v>12104</v>
      </c>
      <c r="B27" s="32" t="str">
        <f>+'Access-Mai'!B27</f>
        <v>TRIBUNAL REGIONAL FEDERAL DA 3A. REGIAO</v>
      </c>
      <c r="C27" s="31" t="str">
        <f>CONCATENATE('Access-Mai'!C27,".",'Access-Mai'!D27)</f>
        <v>28.846</v>
      </c>
      <c r="D27" s="31" t="str">
        <f>CONCATENATE('Access-Mai'!E27,".",'Access-Mai'!G27)</f>
        <v>0909.0536</v>
      </c>
      <c r="E27" s="32" t="str">
        <f>+'Access-Mai'!F27</f>
        <v>OPERACOES ESPECIAIS: OUTROS ENCARGOS ESPECIAIS</v>
      </c>
      <c r="F27" s="32" t="str">
        <f>+'Access-Mai'!H27</f>
        <v>BENEFICIOS E PENSOES INDENIZATORIAS DECORRENTES DE LEGISLACA</v>
      </c>
      <c r="G27" s="31" t="str">
        <f>IF('Access-Mai'!I27="1","F","S")</f>
        <v>S</v>
      </c>
      <c r="H27" s="31" t="str">
        <f>+'Access-Mai'!J27</f>
        <v>0100</v>
      </c>
      <c r="I27" s="32" t="str">
        <f>+'Access-Mai'!K27</f>
        <v>RECURSOS ORDINARIOS</v>
      </c>
      <c r="J27" s="31" t="str">
        <f>+'Access-Mai'!L27</f>
        <v>3</v>
      </c>
      <c r="K27" s="50"/>
      <c r="L27" s="50"/>
      <c r="M27" s="50"/>
      <c r="N27" s="50">
        <f t="shared" si="0"/>
        <v>0</v>
      </c>
      <c r="O27" s="50"/>
      <c r="P27" s="34">
        <f>'Access-Mai'!M27</f>
        <v>18684</v>
      </c>
      <c r="Q27" s="34"/>
      <c r="R27" s="34">
        <f t="shared" si="1"/>
        <v>18684</v>
      </c>
      <c r="S27" s="39">
        <f>'Access-Mai'!N27</f>
        <v>18684</v>
      </c>
      <c r="T27" s="35">
        <f t="shared" si="2"/>
        <v>1</v>
      </c>
      <c r="U27" s="34">
        <f>'Access-Mai'!O27</f>
        <v>7403.54</v>
      </c>
      <c r="V27" s="35">
        <f t="shared" si="3"/>
        <v>0.39625026760864912</v>
      </c>
      <c r="W27" s="34">
        <f>'Access-Mai'!P27</f>
        <v>7403.54</v>
      </c>
      <c r="X27" s="35">
        <f t="shared" si="4"/>
        <v>0.39625026760864912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358973522.96999997</v>
      </c>
      <c r="Q28" s="52">
        <f>SUM(Q10:Q27)</f>
        <v>0</v>
      </c>
      <c r="R28" s="52">
        <f>SUM(R10:R27)</f>
        <v>358973522.96999997</v>
      </c>
      <c r="S28" s="52">
        <f>SUM(S10:S27)</f>
        <v>316609006.01999998</v>
      </c>
      <c r="T28" s="43">
        <f t="shared" si="2"/>
        <v>0.88198428508182636</v>
      </c>
      <c r="U28" s="52">
        <f>SUM(U10:U27)</f>
        <v>269781135.25</v>
      </c>
      <c r="V28" s="43">
        <f t="shared" si="3"/>
        <v>0.75153491270871831</v>
      </c>
      <c r="W28" s="52">
        <f>SUM(W10:W27)</f>
        <v>266572361.58999997</v>
      </c>
      <c r="X28" s="43">
        <f t="shared" si="4"/>
        <v>0.74259616526725813</v>
      </c>
    </row>
    <row r="29" spans="1:24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77" t="s">
        <v>16</v>
      </c>
      <c r="O31" s="77"/>
      <c r="P31" s="54">
        <f>SUM(P10:P27)</f>
        <v>358973522.96999997</v>
      </c>
      <c r="Q31" s="54"/>
      <c r="R31" s="54">
        <f>SUM(R10:R27)</f>
        <v>358973522.96999997</v>
      </c>
      <c r="S31" s="54">
        <f>SUM(S10:S27)</f>
        <v>316609006.01999998</v>
      </c>
      <c r="T31" s="54"/>
      <c r="U31" s="54">
        <f>SUM(U10:U27)</f>
        <v>269781135.25</v>
      </c>
      <c r="V31" s="54"/>
      <c r="W31" s="54">
        <f>SUM(W10:W27)</f>
        <v>266572361.58999997</v>
      </c>
    </row>
    <row r="32" spans="1:24" ht="25.5" customHeight="1" x14ac:dyDescent="0.2">
      <c r="N32" s="77" t="s">
        <v>132</v>
      </c>
      <c r="O32" s="77"/>
      <c r="P32" s="37">
        <f>'Access-Mai'!M29</f>
        <v>358973522.96999997</v>
      </c>
      <c r="Q32" s="37"/>
      <c r="R32" s="37">
        <f>'Access-Mai'!M29</f>
        <v>358973522.96999997</v>
      </c>
      <c r="S32" s="37">
        <f>'Access-Mai'!N29</f>
        <v>316609006.01999998</v>
      </c>
      <c r="T32" s="37"/>
      <c r="U32" s="37">
        <f>'Access-Mai'!O29</f>
        <v>269781135.25</v>
      </c>
      <c r="V32" s="37"/>
      <c r="W32" s="37">
        <f>'Access-Mai'!P29</f>
        <v>266572361.58999997</v>
      </c>
    </row>
    <row r="33" spans="14:23" s="4" customFormat="1" ht="25.5" customHeight="1" x14ac:dyDescent="0.2">
      <c r="N33" s="77" t="s">
        <v>17</v>
      </c>
      <c r="O33" s="77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4:23" s="4" customFormat="1" ht="25.5" customHeight="1" x14ac:dyDescent="0.2">
      <c r="N34" s="1"/>
      <c r="O34" s="1"/>
      <c r="P34" s="67"/>
      <c r="Q34" s="1"/>
      <c r="R34" s="3"/>
      <c r="S34" s="1"/>
      <c r="T34" s="3"/>
      <c r="U34" s="67"/>
      <c r="W34" s="67"/>
    </row>
    <row r="35" spans="14:23" s="4" customFormat="1" ht="25.5" customHeight="1" x14ac:dyDescent="0.2">
      <c r="N35" s="1" t="s">
        <v>145</v>
      </c>
      <c r="O35" s="1"/>
      <c r="P35" s="37">
        <f>358308208.97+665314</f>
        <v>358973522.97000003</v>
      </c>
      <c r="Q35" s="1"/>
      <c r="R35" s="37">
        <f>358308208.97+665314</f>
        <v>358973522.97000003</v>
      </c>
      <c r="S35" s="37">
        <f>315997424.36+611581.66</f>
        <v>316609006.02000004</v>
      </c>
      <c r="T35" s="3"/>
      <c r="U35" s="37">
        <f>269485628.76+295506.49</f>
        <v>269781135.25</v>
      </c>
      <c r="W35" s="37">
        <f>266283955.24+288406.35</f>
        <v>266572361.59</v>
      </c>
    </row>
    <row r="36" spans="14:23" s="4" customFormat="1" ht="25.5" customHeight="1" x14ac:dyDescent="0.2">
      <c r="N36" s="77" t="s">
        <v>17</v>
      </c>
      <c r="O36" s="1"/>
      <c r="P36" s="72">
        <f>P32-P35</f>
        <v>0</v>
      </c>
      <c r="Q36" s="71"/>
      <c r="R36" s="72">
        <f t="shared" ref="R36:W36" si="5">R32-R35</f>
        <v>0</v>
      </c>
      <c r="S36" s="72">
        <f t="shared" si="5"/>
        <v>0</v>
      </c>
      <c r="T36" s="72">
        <f t="shared" si="5"/>
        <v>0</v>
      </c>
      <c r="U36" s="72">
        <f t="shared" si="5"/>
        <v>0</v>
      </c>
      <c r="V36" s="72">
        <f t="shared" si="5"/>
        <v>0</v>
      </c>
      <c r="W36" s="72">
        <f t="shared" si="5"/>
        <v>0</v>
      </c>
    </row>
    <row r="38" spans="14:23" s="4" customFormat="1" ht="25.5" customHeight="1" x14ac:dyDescent="0.2">
      <c r="N38" s="1"/>
      <c r="O38" s="1"/>
      <c r="P38" s="3"/>
      <c r="Q38" s="1"/>
      <c r="R38" s="3"/>
      <c r="S38" s="1"/>
      <c r="T38" s="3"/>
    </row>
    <row r="39" spans="14:23" s="4" customFormat="1" ht="25.5" customHeight="1" x14ac:dyDescent="0.2">
      <c r="N39" s="1"/>
      <c r="O39" s="1"/>
      <c r="P39" s="3"/>
      <c r="Q39" s="1"/>
      <c r="R39" s="3"/>
      <c r="S39" s="1"/>
      <c r="T39" s="3"/>
    </row>
    <row r="40" spans="14:23" s="4" customFormat="1" ht="25.5" customHeight="1" x14ac:dyDescent="0.2">
      <c r="N40" s="1"/>
      <c r="O40" s="1"/>
      <c r="P40" s="3"/>
      <c r="Q40" s="1"/>
      <c r="R40" s="3"/>
      <c r="S40" s="1"/>
      <c r="T40" s="3"/>
    </row>
    <row r="41" spans="14:23" s="4" customFormat="1" ht="25.5" customHeight="1" x14ac:dyDescent="0.2">
      <c r="N41" s="1"/>
      <c r="O41" s="1"/>
      <c r="P41" s="3"/>
      <c r="Q41" s="1"/>
      <c r="R41" s="3"/>
      <c r="S41" s="1"/>
      <c r="T41" s="3"/>
    </row>
    <row r="42" spans="14:23" s="4" customFormat="1" ht="25.5" customHeight="1" x14ac:dyDescent="0.2">
      <c r="N42" s="1"/>
      <c r="O42" s="1"/>
      <c r="P42" s="3"/>
      <c r="Q42" s="1"/>
      <c r="R42" s="3"/>
      <c r="S42" s="1"/>
      <c r="T42" s="3"/>
    </row>
    <row r="43" spans="14:23" s="4" customFormat="1" ht="25.5" customHeight="1" x14ac:dyDescent="0.2">
      <c r="N43" s="1"/>
      <c r="O43" s="1"/>
      <c r="P43" s="3"/>
      <c r="Q43" s="1"/>
      <c r="R43" s="3"/>
      <c r="S43" s="1"/>
      <c r="T43" s="3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8:J2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view="pageBreakPreview" topLeftCell="F16" zoomScale="85" zoomScaleNormal="100" zoomScaleSheetLayoutView="85" workbookViewId="0">
      <selection activeCell="M31" sqref="M31:X38"/>
    </sheetView>
  </sheetViews>
  <sheetFormatPr defaultRowHeight="25.5" customHeight="1" x14ac:dyDescent="0.2"/>
  <cols>
    <col min="1" max="1" width="15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5703125" style="3" customWidth="1"/>
    <col min="17" max="17" width="11" style="1" customWidth="1"/>
    <col min="18" max="18" width="13" style="3" customWidth="1"/>
    <col min="19" max="19" width="14" style="1" customWidth="1"/>
    <col min="20" max="20" width="9.28515625" style="3" bestFit="1" customWidth="1"/>
    <col min="21" max="21" width="14" style="4" customWidth="1"/>
    <col min="22" max="22" width="9.28515625" style="4" bestFit="1" customWidth="1"/>
    <col min="23" max="23" width="14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43252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78" t="s">
        <v>94</v>
      </c>
      <c r="M8" s="78" t="s">
        <v>95</v>
      </c>
      <c r="N8" s="90"/>
      <c r="O8" s="90"/>
      <c r="P8" s="14" t="s">
        <v>4</v>
      </c>
      <c r="Q8" s="14" t="s">
        <v>5</v>
      </c>
      <c r="R8" s="90"/>
      <c r="S8" s="79" t="s">
        <v>7</v>
      </c>
      <c r="T8" s="15" t="s">
        <v>8</v>
      </c>
      <c r="U8" s="79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80" t="s">
        <v>96</v>
      </c>
      <c r="B9" s="80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80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80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+'Access-Jun'!A10</f>
        <v>12104</v>
      </c>
      <c r="B10" s="25" t="str">
        <f>+'Access-Jun'!B10</f>
        <v>TRIBUNAL REGIONAL FEDERAL DA 3A. REGIAO</v>
      </c>
      <c r="C10" s="26" t="str">
        <f>CONCATENATE('Access-Jun'!C10,".",'Access-Jun'!D10)</f>
        <v>02.061</v>
      </c>
      <c r="D10" s="26" t="str">
        <f>CONCATENATE('Access-Jun'!E10,".",'Access-Jun'!G10)</f>
        <v>0569.4224</v>
      </c>
      <c r="E10" s="25" t="str">
        <f>+'Access-Jun'!F10</f>
        <v>PRESTACAO JURISDICIONAL NA JUSTICA FEDERAL</v>
      </c>
      <c r="F10" s="27" t="str">
        <f>+'Access-Jun'!H10</f>
        <v>ASSISTENCIA JURIDICA A PESSOAS CARENTES</v>
      </c>
      <c r="G10" s="24" t="str">
        <f>IF('Access-Jun'!I10="1","F","S")</f>
        <v>F</v>
      </c>
      <c r="H10" s="24" t="str">
        <f>+'Access-Jun'!J10</f>
        <v>0100</v>
      </c>
      <c r="I10" s="28" t="str">
        <f>+'Access-Jun'!K10</f>
        <v>RECURSOS ORDINARIOS</v>
      </c>
      <c r="J10" s="24" t="str">
        <f>+'Access-Jun'!L10</f>
        <v>3</v>
      </c>
      <c r="K10" s="47"/>
      <c r="L10" s="48"/>
      <c r="M10" s="48"/>
      <c r="N10" s="49">
        <f>+K10+L10-M10</f>
        <v>0</v>
      </c>
      <c r="O10" s="47"/>
      <c r="P10" s="29">
        <f>'Access-Jun'!M10</f>
        <v>15000</v>
      </c>
      <c r="Q10" s="29"/>
      <c r="R10" s="29">
        <f>N10-O10+P10</f>
        <v>15000</v>
      </c>
      <c r="S10" s="55">
        <f>'Access-Jun'!N10</f>
        <v>15000</v>
      </c>
      <c r="T10" s="44">
        <f>IF(R10&gt;0,S10/R10,0)</f>
        <v>1</v>
      </c>
      <c r="U10" s="29">
        <f>'Access-Jun'!O10</f>
        <v>0</v>
      </c>
      <c r="V10" s="30">
        <f>IF(R10&gt;0,U10/R10,0)</f>
        <v>0</v>
      </c>
      <c r="W10" s="29">
        <f>'Access-Jun'!P10</f>
        <v>0</v>
      </c>
      <c r="X10" s="30">
        <f>IF(R10&gt;0,W10/R10,0)</f>
        <v>0</v>
      </c>
    </row>
    <row r="11" spans="1:24" ht="25.5" customHeight="1" x14ac:dyDescent="0.2">
      <c r="A11" s="31" t="str">
        <f>+'Access-Jun'!A11</f>
        <v>12104</v>
      </c>
      <c r="B11" s="32" t="str">
        <f>+'Access-Jun'!B11</f>
        <v>TRIBUNAL REGIONAL FEDERAL DA 3A. REGIAO</v>
      </c>
      <c r="C11" s="31" t="str">
        <f>CONCATENATE('Access-Jun'!C11,".",'Access-Jun'!D11)</f>
        <v>02.061</v>
      </c>
      <c r="D11" s="31" t="str">
        <f>CONCATENATE('Access-Jun'!E11,".",'Access-Jun'!G11)</f>
        <v>0569.4257</v>
      </c>
      <c r="E11" s="32" t="str">
        <f>+'Access-Jun'!F11</f>
        <v>PRESTACAO JURISDICIONAL NA JUSTICA FEDERAL</v>
      </c>
      <c r="F11" s="33" t="str">
        <f>+'Access-Jun'!H11</f>
        <v>JULGAMENTO DE CAUSAS NA JUSTICA FEDERAL</v>
      </c>
      <c r="G11" s="31" t="str">
        <f>IF('Access-Jun'!I11="1","F","S")</f>
        <v>F</v>
      </c>
      <c r="H11" s="31" t="str">
        <f>+'Access-Jun'!J11</f>
        <v>0100</v>
      </c>
      <c r="I11" s="32" t="str">
        <f>+'Access-Jun'!K11</f>
        <v>RECURSOS ORDINARIOS</v>
      </c>
      <c r="J11" s="31" t="str">
        <f>+'Access-Jun'!L11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'Access-Jun'!M11</f>
        <v>4492136</v>
      </c>
      <c r="Q11" s="34"/>
      <c r="R11" s="34">
        <f t="shared" ref="R11:R27" si="1">N11-O11+P11</f>
        <v>4492136</v>
      </c>
      <c r="S11" s="39">
        <f>'Access-Jun'!N11</f>
        <v>61224.19</v>
      </c>
      <c r="T11" s="35">
        <f t="shared" ref="T11:T28" si="2">IF(R11&gt;0,S11/R11,0)</f>
        <v>1.3629193328073773E-2</v>
      </c>
      <c r="U11" s="34">
        <f>'Access-Jun'!O11</f>
        <v>0</v>
      </c>
      <c r="V11" s="35">
        <f t="shared" ref="V11:V28" si="3">IF(R11&gt;0,U11/R11,0)</f>
        <v>0</v>
      </c>
      <c r="W11" s="34">
        <f>'Access-Jun'!P11</f>
        <v>0</v>
      </c>
      <c r="X11" s="35">
        <f t="shared" ref="X11:X28" si="4">IF(R11&gt;0,W11/R11,0)</f>
        <v>0</v>
      </c>
    </row>
    <row r="12" spans="1:24" ht="25.5" customHeight="1" x14ac:dyDescent="0.2">
      <c r="A12" s="31" t="str">
        <f>+'Access-Jun'!A12</f>
        <v>12104</v>
      </c>
      <c r="B12" s="32" t="str">
        <f>+'Access-Jun'!B12</f>
        <v>TRIBUNAL REGIONAL FEDERAL DA 3A. REGIAO</v>
      </c>
      <c r="C12" s="31" t="str">
        <f>CONCATENATE('Access-Jun'!C12,".",'Access-Jun'!D12)</f>
        <v>02.061</v>
      </c>
      <c r="D12" s="31" t="str">
        <f>CONCATENATE('Access-Jun'!E12,".",'Access-Jun'!G12)</f>
        <v>0569.4257</v>
      </c>
      <c r="E12" s="32" t="str">
        <f>+'Access-Jun'!F12</f>
        <v>PRESTACAO JURISDICIONAL NA JUSTICA FEDERAL</v>
      </c>
      <c r="F12" s="32" t="str">
        <f>+'Access-Jun'!H12</f>
        <v>JULGAMENTO DE CAUSAS NA JUSTICA FEDERAL</v>
      </c>
      <c r="G12" s="31" t="str">
        <f>IF('Access-Jun'!I12="1","F","S")</f>
        <v>F</v>
      </c>
      <c r="H12" s="31" t="str">
        <f>+'Access-Jun'!J12</f>
        <v>0100</v>
      </c>
      <c r="I12" s="32" t="str">
        <f>+'Access-Jun'!K12</f>
        <v>RECURSOS ORDINARIOS</v>
      </c>
      <c r="J12" s="31" t="str">
        <f>+'Access-Jun'!L12</f>
        <v>3</v>
      </c>
      <c r="K12" s="34"/>
      <c r="L12" s="34"/>
      <c r="M12" s="34"/>
      <c r="N12" s="50">
        <f t="shared" si="0"/>
        <v>0</v>
      </c>
      <c r="O12" s="34"/>
      <c r="P12" s="34">
        <f>'Access-Jun'!M12</f>
        <v>53533613</v>
      </c>
      <c r="Q12" s="34"/>
      <c r="R12" s="34">
        <f t="shared" si="1"/>
        <v>53533613</v>
      </c>
      <c r="S12" s="39">
        <f>'Access-Jun'!N12</f>
        <v>38497448.689999998</v>
      </c>
      <c r="T12" s="35">
        <f t="shared" si="2"/>
        <v>0.7191266670157308</v>
      </c>
      <c r="U12" s="34">
        <f>'Access-Jun'!O12</f>
        <v>16143187.439999999</v>
      </c>
      <c r="V12" s="35">
        <f t="shared" si="3"/>
        <v>0.3015523618777608</v>
      </c>
      <c r="W12" s="34">
        <f>'Access-Jun'!P12</f>
        <v>13988736.689999999</v>
      </c>
      <c r="X12" s="35">
        <f t="shared" si="4"/>
        <v>0.26130753943321555</v>
      </c>
    </row>
    <row r="13" spans="1:24" ht="25.5" customHeight="1" x14ac:dyDescent="0.2">
      <c r="A13" s="31" t="str">
        <f>+'Access-Jun'!A13</f>
        <v>12104</v>
      </c>
      <c r="B13" s="32" t="str">
        <f>+'Access-Jun'!B13</f>
        <v>TRIBUNAL REGIONAL FEDERAL DA 3A. REGIAO</v>
      </c>
      <c r="C13" s="31" t="str">
        <f>CONCATENATE('Access-Jun'!C13,".",'Access-Jun'!D13)</f>
        <v>02.061</v>
      </c>
      <c r="D13" s="31" t="str">
        <f>CONCATENATE('Access-Jun'!E13,".",'Access-Jun'!G13)</f>
        <v>0569.4257</v>
      </c>
      <c r="E13" s="32" t="str">
        <f>+'Access-Jun'!F13</f>
        <v>PRESTACAO JURISDICIONAL NA JUSTICA FEDERAL</v>
      </c>
      <c r="F13" s="32" t="str">
        <f>+'Access-Jun'!H13</f>
        <v>JULGAMENTO DE CAUSAS NA JUSTICA FEDERAL</v>
      </c>
      <c r="G13" s="31" t="str">
        <f>IF('Access-Jun'!I13="1","F","S")</f>
        <v>F</v>
      </c>
      <c r="H13" s="31" t="str">
        <f>+'Access-Jun'!J13</f>
        <v>0127</v>
      </c>
      <c r="I13" s="32" t="str">
        <f>+'Access-Jun'!K13</f>
        <v>CUSTAS E EMOLUMENTOS - PODER JUDICIARIO</v>
      </c>
      <c r="J13" s="31" t="str">
        <f>+'Access-Jun'!L13</f>
        <v>3</v>
      </c>
      <c r="K13" s="34"/>
      <c r="L13" s="34"/>
      <c r="M13" s="34"/>
      <c r="N13" s="50">
        <f t="shared" si="0"/>
        <v>0</v>
      </c>
      <c r="O13" s="34"/>
      <c r="P13" s="34">
        <f>'Access-Jun'!M13</f>
        <v>7243081</v>
      </c>
      <c r="Q13" s="34"/>
      <c r="R13" s="34">
        <f t="shared" si="1"/>
        <v>7243081</v>
      </c>
      <c r="S13" s="39">
        <f>'Access-Jun'!N13</f>
        <v>7159159.6799999997</v>
      </c>
      <c r="T13" s="35">
        <f t="shared" si="2"/>
        <v>0.98841358808495994</v>
      </c>
      <c r="U13" s="34">
        <f>'Access-Jun'!O13</f>
        <v>3602818.33</v>
      </c>
      <c r="V13" s="35">
        <f t="shared" si="3"/>
        <v>0.49741516490013021</v>
      </c>
      <c r="W13" s="34">
        <f>'Access-Jun'!P13</f>
        <v>3295980.4</v>
      </c>
      <c r="X13" s="35">
        <f t="shared" si="4"/>
        <v>0.45505226298035323</v>
      </c>
    </row>
    <row r="14" spans="1:24" ht="25.5" customHeight="1" x14ac:dyDescent="0.2">
      <c r="A14" s="31" t="str">
        <f>+'Access-Jun'!A14</f>
        <v>12104</v>
      </c>
      <c r="B14" s="32" t="str">
        <f>+'Access-Jun'!B14</f>
        <v>TRIBUNAL REGIONAL FEDERAL DA 3A. REGIAO</v>
      </c>
      <c r="C14" s="31" t="str">
        <f>CONCATENATE('Access-Jun'!C14,".",'Access-Jun'!D14)</f>
        <v>02.061</v>
      </c>
      <c r="D14" s="31" t="str">
        <f>CONCATENATE('Access-Jun'!E14,".",'Access-Jun'!G14)</f>
        <v>0569.4257</v>
      </c>
      <c r="E14" s="32" t="str">
        <f>+'Access-Jun'!F14</f>
        <v>PRESTACAO JURISDICIONAL NA JUSTICA FEDERAL</v>
      </c>
      <c r="F14" s="32" t="str">
        <f>+'Access-Jun'!H14</f>
        <v>JULGAMENTO DE CAUSAS NA JUSTICA FEDERAL</v>
      </c>
      <c r="G14" s="31" t="str">
        <f>IF('Access-Jun'!I14="1","F","S")</f>
        <v>F</v>
      </c>
      <c r="H14" s="31" t="str">
        <f>+'Access-Jun'!J14</f>
        <v>0181</v>
      </c>
      <c r="I14" s="32" t="str">
        <f>+'Access-Jun'!K14</f>
        <v>RECURSOS DE CONVENIOS</v>
      </c>
      <c r="J14" s="31" t="str">
        <f>+'Access-Jun'!L14</f>
        <v>4</v>
      </c>
      <c r="K14" s="34"/>
      <c r="L14" s="34"/>
      <c r="M14" s="34"/>
      <c r="N14" s="50">
        <f t="shared" si="0"/>
        <v>0</v>
      </c>
      <c r="O14" s="34"/>
      <c r="P14" s="34">
        <f>'Access-Jun'!M14</f>
        <v>3394236</v>
      </c>
      <c r="Q14" s="34"/>
      <c r="R14" s="34">
        <f t="shared" si="1"/>
        <v>3394236</v>
      </c>
      <c r="S14" s="39">
        <f>'Access-Jun'!N14</f>
        <v>0</v>
      </c>
      <c r="T14" s="35">
        <f t="shared" si="2"/>
        <v>0</v>
      </c>
      <c r="U14" s="34">
        <f>'Access-Jun'!O14</f>
        <v>0</v>
      </c>
      <c r="V14" s="35">
        <f t="shared" si="3"/>
        <v>0</v>
      </c>
      <c r="W14" s="34">
        <f>'Access-Jun'!P14</f>
        <v>0</v>
      </c>
      <c r="X14" s="35">
        <f t="shared" si="4"/>
        <v>0</v>
      </c>
    </row>
    <row r="15" spans="1:24" ht="25.5" customHeight="1" x14ac:dyDescent="0.2">
      <c r="A15" s="31" t="str">
        <f>+'Access-Jun'!A15</f>
        <v>12104</v>
      </c>
      <c r="B15" s="32" t="str">
        <f>+'Access-Jun'!B15</f>
        <v>TRIBUNAL REGIONAL FEDERAL DA 3A. REGIAO</v>
      </c>
      <c r="C15" s="31" t="str">
        <f>CONCATENATE('Access-Jun'!C15,".",'Access-Jun'!D15)</f>
        <v>02.122</v>
      </c>
      <c r="D15" s="31" t="str">
        <f>CONCATENATE('Access-Jun'!E15,".",'Access-Jun'!G15)</f>
        <v>0569.15NZ</v>
      </c>
      <c r="E15" s="32" t="str">
        <f>+'Access-Jun'!F15</f>
        <v>PRESTACAO JURISDICIONAL NA JUSTICA FEDERAL</v>
      </c>
      <c r="F15" s="32" t="str">
        <f>+'Access-Jun'!H15</f>
        <v>REFORMA DO EDIFICIO-SEDE DO TRIBUNAL REGIONAL FEDERAL DA 3.</v>
      </c>
      <c r="G15" s="31" t="str">
        <f>IF('Access-Jun'!I15="1","F","S")</f>
        <v>F</v>
      </c>
      <c r="H15" s="31" t="str">
        <f>+'Access-Jun'!J15</f>
        <v>0100</v>
      </c>
      <c r="I15" s="32" t="str">
        <f>+'Access-Jun'!K15</f>
        <v>RECURSOS ORDINARIOS</v>
      </c>
      <c r="J15" s="31" t="str">
        <f>+'Access-Jun'!L15</f>
        <v>4</v>
      </c>
      <c r="K15" s="50"/>
      <c r="L15" s="50"/>
      <c r="M15" s="50"/>
      <c r="N15" s="50">
        <f t="shared" si="0"/>
        <v>0</v>
      </c>
      <c r="O15" s="50"/>
      <c r="P15" s="34">
        <f>'Access-Jun'!M15</f>
        <v>5109000</v>
      </c>
      <c r="Q15" s="34"/>
      <c r="R15" s="34">
        <f t="shared" si="1"/>
        <v>5109000</v>
      </c>
      <c r="S15" s="39">
        <f>'Access-Jun'!N15</f>
        <v>0</v>
      </c>
      <c r="T15" s="35">
        <f t="shared" si="2"/>
        <v>0</v>
      </c>
      <c r="U15" s="34">
        <f>'Access-Jun'!O15</f>
        <v>0</v>
      </c>
      <c r="V15" s="35">
        <f t="shared" si="3"/>
        <v>0</v>
      </c>
      <c r="W15" s="34">
        <f>'Access-Jun'!P15</f>
        <v>0</v>
      </c>
      <c r="X15" s="35">
        <f t="shared" si="4"/>
        <v>0</v>
      </c>
    </row>
    <row r="16" spans="1:24" ht="25.5" customHeight="1" x14ac:dyDescent="0.2">
      <c r="A16" s="31" t="str">
        <f>+'Access-Jun'!A16</f>
        <v>12104</v>
      </c>
      <c r="B16" s="32" t="str">
        <f>+'Access-Jun'!B16</f>
        <v>TRIBUNAL REGIONAL FEDERAL DA 3A. REGIAO</v>
      </c>
      <c r="C16" s="31" t="str">
        <f>CONCATENATE('Access-Jun'!C16,".",'Access-Jun'!D16)</f>
        <v>02.122</v>
      </c>
      <c r="D16" s="31" t="str">
        <f>CONCATENATE('Access-Jun'!E16,".",'Access-Jun'!G16)</f>
        <v>0569.15PC</v>
      </c>
      <c r="E16" s="32" t="str">
        <f>+'Access-Jun'!F16</f>
        <v>PRESTACAO JURISDICIONAL NA JUSTICA FEDERAL</v>
      </c>
      <c r="F16" s="32" t="str">
        <f>+'Access-Jun'!H16</f>
        <v>AQUISICAO DE IMOVEIS PARA FUNCIONAMENTO DO TRF3 DA 3. REGIAO</v>
      </c>
      <c r="G16" s="31" t="str">
        <f>IF('Access-Jun'!I16="1","F","S")</f>
        <v>F</v>
      </c>
      <c r="H16" s="31" t="str">
        <f>+'Access-Jun'!J16</f>
        <v>0181</v>
      </c>
      <c r="I16" s="32" t="str">
        <f>+'Access-Jun'!K16</f>
        <v>RECURSOS DE CONVENIOS</v>
      </c>
      <c r="J16" s="31" t="str">
        <f>+'Access-Jun'!L16</f>
        <v>5</v>
      </c>
      <c r="K16" s="34"/>
      <c r="L16" s="34"/>
      <c r="M16" s="34"/>
      <c r="N16" s="50">
        <f t="shared" si="0"/>
        <v>0</v>
      </c>
      <c r="O16" s="34"/>
      <c r="P16" s="34">
        <f>'Access-Jun'!M16</f>
        <v>9000000</v>
      </c>
      <c r="Q16" s="34"/>
      <c r="R16" s="34">
        <f t="shared" si="1"/>
        <v>9000000</v>
      </c>
      <c r="S16" s="39">
        <f>'Access-Jun'!N16</f>
        <v>0</v>
      </c>
      <c r="T16" s="35">
        <f t="shared" si="2"/>
        <v>0</v>
      </c>
      <c r="U16" s="34">
        <f>'Access-Jun'!O16</f>
        <v>0</v>
      </c>
      <c r="V16" s="35">
        <f t="shared" si="3"/>
        <v>0</v>
      </c>
      <c r="W16" s="34">
        <f>'Access-Jun'!P16</f>
        <v>0</v>
      </c>
      <c r="X16" s="35">
        <f t="shared" si="4"/>
        <v>0</v>
      </c>
    </row>
    <row r="17" spans="1:24" ht="25.5" customHeight="1" x14ac:dyDescent="0.2">
      <c r="A17" s="31" t="str">
        <f>+'Access-Jun'!A17</f>
        <v>12104</v>
      </c>
      <c r="B17" s="32" t="str">
        <f>+'Access-Jun'!B17</f>
        <v>TRIBUNAL REGIONAL FEDERAL DA 3A. REGIAO</v>
      </c>
      <c r="C17" s="31" t="str">
        <f>CONCATENATE('Access-Jun'!C17,".",'Access-Jun'!D17)</f>
        <v>02.122</v>
      </c>
      <c r="D17" s="31" t="str">
        <f>CONCATENATE('Access-Jun'!E17,".",'Access-Jun'!G17)</f>
        <v>0569.20TP</v>
      </c>
      <c r="E17" s="32" t="str">
        <f>+'Access-Jun'!F17</f>
        <v>PRESTACAO JURISDICIONAL NA JUSTICA FEDERAL</v>
      </c>
      <c r="F17" s="32" t="str">
        <f>+'Access-Jun'!H17</f>
        <v>ATIVOS CIVIS DA UNIAO</v>
      </c>
      <c r="G17" s="31" t="str">
        <f>IF('Access-Jun'!I17="1","F","S")</f>
        <v>F</v>
      </c>
      <c r="H17" s="31" t="str">
        <f>+'Access-Jun'!J17</f>
        <v>0100</v>
      </c>
      <c r="I17" s="32" t="str">
        <f>+'Access-Jun'!K17</f>
        <v>RECURSOS ORDINARIOS</v>
      </c>
      <c r="J17" s="31" t="str">
        <f>+'Access-Jun'!L17</f>
        <v>1</v>
      </c>
      <c r="K17" s="34"/>
      <c r="L17" s="34"/>
      <c r="M17" s="34"/>
      <c r="N17" s="50">
        <f t="shared" si="0"/>
        <v>0</v>
      </c>
      <c r="O17" s="34"/>
      <c r="P17" s="34">
        <f>'Access-Jun'!M17</f>
        <v>196076256.91999999</v>
      </c>
      <c r="Q17" s="34"/>
      <c r="R17" s="34">
        <f t="shared" si="1"/>
        <v>196076256.91999999</v>
      </c>
      <c r="S17" s="39">
        <f>'Access-Jun'!N17</f>
        <v>196076256.91999999</v>
      </c>
      <c r="T17" s="35">
        <f t="shared" si="2"/>
        <v>1</v>
      </c>
      <c r="U17" s="34">
        <f>'Access-Jun'!O17</f>
        <v>196053954.18000001</v>
      </c>
      <c r="V17" s="35">
        <f t="shared" si="3"/>
        <v>0.99988625476459869</v>
      </c>
      <c r="W17" s="34">
        <f>'Access-Jun'!P17</f>
        <v>194395715.84</v>
      </c>
      <c r="X17" s="35">
        <f t="shared" si="4"/>
        <v>0.99142914544372573</v>
      </c>
    </row>
    <row r="18" spans="1:24" ht="25.5" customHeight="1" x14ac:dyDescent="0.2">
      <c r="A18" s="31" t="str">
        <f>+'Access-Jun'!A18</f>
        <v>12104</v>
      </c>
      <c r="B18" s="32" t="str">
        <f>+'Access-Jun'!B18</f>
        <v>TRIBUNAL REGIONAL FEDERAL DA 3A. REGIAO</v>
      </c>
      <c r="C18" s="31" t="str">
        <f>CONCATENATE('Access-Jun'!C18,".",'Access-Jun'!D18)</f>
        <v>02.122</v>
      </c>
      <c r="D18" s="31" t="str">
        <f>CONCATENATE('Access-Jun'!E18,".",'Access-Jun'!G18)</f>
        <v>0569.216H</v>
      </c>
      <c r="E18" s="32" t="str">
        <f>+'Access-Jun'!F18</f>
        <v>PRESTACAO JURISDICIONAL NA JUSTICA FEDERAL</v>
      </c>
      <c r="F18" s="32" t="str">
        <f>+'Access-Jun'!H18</f>
        <v>AJUDA DE CUSTO PARA MORADIA OU AUXILIO-MORADIA A AGENTES PUB</v>
      </c>
      <c r="G18" s="31" t="str">
        <f>IF('Access-Jun'!I18="1","F","S")</f>
        <v>F</v>
      </c>
      <c r="H18" s="31" t="str">
        <f>+'Access-Jun'!J18</f>
        <v>0100</v>
      </c>
      <c r="I18" s="32" t="str">
        <f>+'Access-Jun'!K18</f>
        <v>RECURSOS ORDINARIOS</v>
      </c>
      <c r="J18" s="31" t="str">
        <f>+'Access-Jun'!L18</f>
        <v>3</v>
      </c>
      <c r="K18" s="50"/>
      <c r="L18" s="50"/>
      <c r="M18" s="50"/>
      <c r="N18" s="50">
        <f t="shared" si="0"/>
        <v>0</v>
      </c>
      <c r="O18" s="50"/>
      <c r="P18" s="34">
        <f>'Access-Jun'!M18</f>
        <v>2442858</v>
      </c>
      <c r="Q18" s="34"/>
      <c r="R18" s="34">
        <f t="shared" si="1"/>
        <v>2442858</v>
      </c>
      <c r="S18" s="39">
        <f>'Access-Jun'!N18</f>
        <v>1201917.58</v>
      </c>
      <c r="T18" s="35">
        <f t="shared" si="2"/>
        <v>0.49201287180834913</v>
      </c>
      <c r="U18" s="34">
        <f>'Access-Jun'!O18</f>
        <v>1119984.58</v>
      </c>
      <c r="V18" s="35">
        <f t="shared" si="3"/>
        <v>0.45847305901530094</v>
      </c>
      <c r="W18" s="34">
        <f>'Access-Jun'!P18</f>
        <v>1119984.58</v>
      </c>
      <c r="X18" s="35">
        <f t="shared" si="4"/>
        <v>0.45847305901530094</v>
      </c>
    </row>
    <row r="19" spans="1:24" ht="25.5" customHeight="1" x14ac:dyDescent="0.2">
      <c r="A19" s="31" t="str">
        <f>+'Access-Jun'!A19</f>
        <v>12104</v>
      </c>
      <c r="B19" s="32" t="str">
        <f>+'Access-Jun'!B19</f>
        <v>TRIBUNAL REGIONAL FEDERAL DA 3A. REGIAO</v>
      </c>
      <c r="C19" s="31" t="str">
        <f>CONCATENATE('Access-Jun'!C19,".",'Access-Jun'!D19)</f>
        <v>02.126</v>
      </c>
      <c r="D19" s="31" t="str">
        <f>CONCATENATE('Access-Jun'!E19,".",'Access-Jun'!G19)</f>
        <v>0569.151W</v>
      </c>
      <c r="E19" s="32" t="str">
        <f>+'Access-Jun'!F19</f>
        <v>PRESTACAO JURISDICIONAL NA JUSTICA FEDERAL</v>
      </c>
      <c r="F19" s="32" t="str">
        <f>+'Access-Jun'!H19</f>
        <v>DESENVOLVIMENTO E IMPLANTACAO DO SISTEMA PROCESSO JUDICIAL E</v>
      </c>
      <c r="G19" s="31" t="str">
        <f>IF('Access-Jun'!I19="1","F","S")</f>
        <v>F</v>
      </c>
      <c r="H19" s="31" t="str">
        <f>+'Access-Jun'!J19</f>
        <v>0100</v>
      </c>
      <c r="I19" s="32" t="str">
        <f>+'Access-Jun'!K19</f>
        <v>RECURSOS ORDINARIOS</v>
      </c>
      <c r="J19" s="31" t="str">
        <f>+'Access-Jun'!L19</f>
        <v>4</v>
      </c>
      <c r="K19" s="50"/>
      <c r="L19" s="50"/>
      <c r="M19" s="50"/>
      <c r="N19" s="50">
        <f t="shared" si="0"/>
        <v>0</v>
      </c>
      <c r="O19" s="50"/>
      <c r="P19" s="34">
        <f>'Access-Jun'!M19</f>
        <v>803039</v>
      </c>
      <c r="Q19" s="34"/>
      <c r="R19" s="34">
        <f t="shared" si="1"/>
        <v>803039</v>
      </c>
      <c r="S19" s="39">
        <f>'Access-Jun'!N19</f>
        <v>0</v>
      </c>
      <c r="T19" s="35">
        <f t="shared" si="2"/>
        <v>0</v>
      </c>
      <c r="U19" s="34">
        <f>'Access-Jun'!O19</f>
        <v>0</v>
      </c>
      <c r="V19" s="35">
        <f t="shared" si="3"/>
        <v>0</v>
      </c>
      <c r="W19" s="34">
        <f>'Access-Jun'!P19</f>
        <v>0</v>
      </c>
      <c r="X19" s="35">
        <f t="shared" si="4"/>
        <v>0</v>
      </c>
    </row>
    <row r="20" spans="1:24" ht="25.5" customHeight="1" x14ac:dyDescent="0.2">
      <c r="A20" s="31" t="str">
        <f>+'Access-Jun'!A20</f>
        <v>12104</v>
      </c>
      <c r="B20" s="32" t="str">
        <f>+'Access-Jun'!B20</f>
        <v>TRIBUNAL REGIONAL FEDERAL DA 3A. REGIAO</v>
      </c>
      <c r="C20" s="31" t="str">
        <f>CONCATENATE('Access-Jun'!C20,".",'Access-Jun'!D20)</f>
        <v>02.126</v>
      </c>
      <c r="D20" s="31" t="str">
        <f>CONCATENATE('Access-Jun'!E20,".",'Access-Jun'!G20)</f>
        <v>0569.151W</v>
      </c>
      <c r="E20" s="32" t="str">
        <f>+'Access-Jun'!F20</f>
        <v>PRESTACAO JURISDICIONAL NA JUSTICA FEDERAL</v>
      </c>
      <c r="F20" s="32" t="str">
        <f>+'Access-Jun'!H20</f>
        <v>DESENVOLVIMENTO E IMPLANTACAO DO SISTEMA PROCESSO JUDICIAL E</v>
      </c>
      <c r="G20" s="31" t="str">
        <f>IF('Access-Jun'!I20="1","F","S")</f>
        <v>F</v>
      </c>
      <c r="H20" s="31" t="str">
        <f>+'Access-Jun'!J20</f>
        <v>0100</v>
      </c>
      <c r="I20" s="32" t="str">
        <f>+'Access-Jun'!K20</f>
        <v>RECURSOS ORDINARIOS</v>
      </c>
      <c r="J20" s="31" t="str">
        <f>+'Access-Jun'!L20</f>
        <v>3</v>
      </c>
      <c r="K20" s="50"/>
      <c r="L20" s="50"/>
      <c r="M20" s="50"/>
      <c r="N20" s="50">
        <f t="shared" si="0"/>
        <v>0</v>
      </c>
      <c r="O20" s="50"/>
      <c r="P20" s="34">
        <f>'Access-Jun'!M20</f>
        <v>858773</v>
      </c>
      <c r="Q20" s="34"/>
      <c r="R20" s="34">
        <f t="shared" si="1"/>
        <v>858773</v>
      </c>
      <c r="S20" s="39">
        <f>'Access-Jun'!N20</f>
        <v>594734</v>
      </c>
      <c r="T20" s="35">
        <f t="shared" si="2"/>
        <v>0.6925392391237265</v>
      </c>
      <c r="U20" s="34">
        <f>'Access-Jun'!O20</f>
        <v>180032</v>
      </c>
      <c r="V20" s="35">
        <f t="shared" si="3"/>
        <v>0.20963863558821713</v>
      </c>
      <c r="W20" s="34">
        <f>'Access-Jun'!P20</f>
        <v>177617.92000000001</v>
      </c>
      <c r="X20" s="35">
        <f t="shared" si="4"/>
        <v>0.20682755512807227</v>
      </c>
    </row>
    <row r="21" spans="1:24" ht="25.5" customHeight="1" x14ac:dyDescent="0.2">
      <c r="A21" s="31" t="str">
        <f>+'Access-Jun'!A21</f>
        <v>12104</v>
      </c>
      <c r="B21" s="32" t="str">
        <f>+'Access-Jun'!B21</f>
        <v>TRIBUNAL REGIONAL FEDERAL DA 3A. REGIAO</v>
      </c>
      <c r="C21" s="31" t="str">
        <f>CONCATENATE('Access-Jun'!C21,".",'Access-Jun'!D21)</f>
        <v>02.131</v>
      </c>
      <c r="D21" s="31" t="str">
        <f>CONCATENATE('Access-Jun'!E21,".",'Access-Jun'!G21)</f>
        <v>0569.2549</v>
      </c>
      <c r="E21" s="32" t="str">
        <f>+'Access-Jun'!F21</f>
        <v>PRESTACAO JURISDICIONAL NA JUSTICA FEDERAL</v>
      </c>
      <c r="F21" s="32" t="str">
        <f>+'Access-Jun'!H21</f>
        <v>COMUNICACAO E DIVULGACAO INSTITUCIONAL</v>
      </c>
      <c r="G21" s="31" t="str">
        <f>IF('Access-Jun'!I21="1","F","S")</f>
        <v>F</v>
      </c>
      <c r="H21" s="31" t="str">
        <f>+'Access-Jun'!J21</f>
        <v>0100</v>
      </c>
      <c r="I21" s="32" t="str">
        <f>+'Access-Jun'!K21</f>
        <v>RECURSOS ORDINARIOS</v>
      </c>
      <c r="J21" s="31" t="str">
        <f>+'Access-Jun'!L21</f>
        <v>3</v>
      </c>
      <c r="K21" s="50"/>
      <c r="L21" s="50"/>
      <c r="M21" s="50"/>
      <c r="N21" s="50">
        <f t="shared" si="0"/>
        <v>0</v>
      </c>
      <c r="O21" s="50"/>
      <c r="P21" s="34">
        <f>'Access-Jun'!M21</f>
        <v>560609</v>
      </c>
      <c r="Q21" s="34"/>
      <c r="R21" s="34">
        <f t="shared" si="1"/>
        <v>560609</v>
      </c>
      <c r="S21" s="39">
        <f>'Access-Jun'!N21</f>
        <v>483456.48</v>
      </c>
      <c r="T21" s="35">
        <f t="shared" si="2"/>
        <v>0.86237730753519826</v>
      </c>
      <c r="U21" s="34">
        <f>'Access-Jun'!O21</f>
        <v>208813.55</v>
      </c>
      <c r="V21" s="35">
        <f t="shared" si="3"/>
        <v>0.37247627134063133</v>
      </c>
      <c r="W21" s="34">
        <f>'Access-Jun'!P21</f>
        <v>167050.84</v>
      </c>
      <c r="X21" s="35">
        <f t="shared" si="4"/>
        <v>0.29798101707250507</v>
      </c>
    </row>
    <row r="22" spans="1:24" ht="25.5" customHeight="1" x14ac:dyDescent="0.2">
      <c r="A22" s="31" t="str">
        <f>+'Access-Jun'!A22</f>
        <v>12104</v>
      </c>
      <c r="B22" s="32" t="str">
        <f>+'Access-Jun'!B22</f>
        <v>TRIBUNAL REGIONAL FEDERAL DA 3A. REGIAO</v>
      </c>
      <c r="C22" s="31" t="str">
        <f>CONCATENATE('Access-Jun'!C22,".",'Access-Jun'!D22)</f>
        <v>02.301</v>
      </c>
      <c r="D22" s="31" t="str">
        <f>CONCATENATE('Access-Jun'!E22,".",'Access-Jun'!G22)</f>
        <v>0569.2004</v>
      </c>
      <c r="E22" s="32" t="str">
        <f>+'Access-Jun'!F22</f>
        <v>PRESTACAO JURISDICIONAL NA JUSTICA FEDERAL</v>
      </c>
      <c r="F22" s="32" t="str">
        <f>+'Access-Jun'!H22</f>
        <v>ASSISTENCIA MEDICA E ODONTOLOGICA AOS SERVIDORES CIVIS, EMPR</v>
      </c>
      <c r="G22" s="31" t="str">
        <f>IF('Access-Jun'!I22="1","F","S")</f>
        <v>S</v>
      </c>
      <c r="H22" s="31" t="str">
        <f>+'Access-Jun'!J22</f>
        <v>0100</v>
      </c>
      <c r="I22" s="32" t="str">
        <f>+'Access-Jun'!K22</f>
        <v>RECURSOS ORDINARIOS</v>
      </c>
      <c r="J22" s="31" t="str">
        <f>+'Access-Jun'!L22</f>
        <v>4</v>
      </c>
      <c r="K22" s="50"/>
      <c r="L22" s="50"/>
      <c r="M22" s="50"/>
      <c r="N22" s="50">
        <f t="shared" si="0"/>
        <v>0</v>
      </c>
      <c r="O22" s="50"/>
      <c r="P22" s="34">
        <f>'Access-Jun'!M22</f>
        <v>15000</v>
      </c>
      <c r="Q22" s="34"/>
      <c r="R22" s="34">
        <f t="shared" si="1"/>
        <v>15000</v>
      </c>
      <c r="S22" s="39">
        <f>'Access-Jun'!N22</f>
        <v>0</v>
      </c>
      <c r="T22" s="35">
        <f t="shared" si="2"/>
        <v>0</v>
      </c>
      <c r="U22" s="34">
        <f>'Access-Jun'!O22</f>
        <v>0</v>
      </c>
      <c r="V22" s="35">
        <f t="shared" si="3"/>
        <v>0</v>
      </c>
      <c r="W22" s="34">
        <f>'Access-Jun'!P22</f>
        <v>0</v>
      </c>
      <c r="X22" s="35">
        <f t="shared" si="4"/>
        <v>0</v>
      </c>
    </row>
    <row r="23" spans="1:24" ht="25.5" customHeight="1" x14ac:dyDescent="0.2">
      <c r="A23" s="31" t="str">
        <f>+'Access-Jun'!A23</f>
        <v>12104</v>
      </c>
      <c r="B23" s="32" t="str">
        <f>+'Access-Jun'!B23</f>
        <v>TRIBUNAL REGIONAL FEDERAL DA 3A. REGIAO</v>
      </c>
      <c r="C23" s="31" t="str">
        <f>CONCATENATE('Access-Jun'!C23,".",'Access-Jun'!D23)</f>
        <v>02.301</v>
      </c>
      <c r="D23" s="31" t="str">
        <f>CONCATENATE('Access-Jun'!E23,".",'Access-Jun'!G23)</f>
        <v>0569.2004</v>
      </c>
      <c r="E23" s="32" t="str">
        <f>+'Access-Jun'!F23</f>
        <v>PRESTACAO JURISDICIONAL NA JUSTICA FEDERAL</v>
      </c>
      <c r="F23" s="32" t="str">
        <f>+'Access-Jun'!H23</f>
        <v>ASSISTENCIA MEDICA E ODONTOLOGICA AOS SERVIDORES CIVIS, EMPR</v>
      </c>
      <c r="G23" s="31" t="str">
        <f>IF('Access-Jun'!I23="1","F","S")</f>
        <v>S</v>
      </c>
      <c r="H23" s="31" t="str">
        <f>+'Access-Jun'!J23</f>
        <v>0100</v>
      </c>
      <c r="I23" s="32" t="str">
        <f>+'Access-Jun'!K23</f>
        <v>RECURSOS ORDINARIOS</v>
      </c>
      <c r="J23" s="31" t="str">
        <f>+'Access-Jun'!L23</f>
        <v>3</v>
      </c>
      <c r="K23" s="50"/>
      <c r="L23" s="50"/>
      <c r="M23" s="50"/>
      <c r="N23" s="50">
        <f t="shared" si="0"/>
        <v>0</v>
      </c>
      <c r="O23" s="50"/>
      <c r="P23" s="34">
        <f>'Access-Jun'!M23</f>
        <v>12294825</v>
      </c>
      <c r="Q23" s="34"/>
      <c r="R23" s="34">
        <f t="shared" si="1"/>
        <v>12294825</v>
      </c>
      <c r="S23" s="39">
        <f>'Access-Jun'!N23</f>
        <v>7893400</v>
      </c>
      <c r="T23" s="35">
        <f t="shared" si="2"/>
        <v>0.64200995134131633</v>
      </c>
      <c r="U23" s="34">
        <f>'Access-Jun'!O23</f>
        <v>5059359.78</v>
      </c>
      <c r="V23" s="35">
        <f t="shared" si="3"/>
        <v>0.4115031958567934</v>
      </c>
      <c r="W23" s="34">
        <f>'Access-Jun'!P23</f>
        <v>5059359.78</v>
      </c>
      <c r="X23" s="35">
        <f t="shared" si="4"/>
        <v>0.4115031958567934</v>
      </c>
    </row>
    <row r="24" spans="1:24" ht="25.5" customHeight="1" x14ac:dyDescent="0.2">
      <c r="A24" s="31" t="str">
        <f>+'Access-Jun'!A24</f>
        <v>12104</v>
      </c>
      <c r="B24" s="32" t="str">
        <f>+'Access-Jun'!B24</f>
        <v>TRIBUNAL REGIONAL FEDERAL DA 3A. REGIAO</v>
      </c>
      <c r="C24" s="31" t="str">
        <f>CONCATENATE('Access-Jun'!C24,".",'Access-Jun'!D24)</f>
        <v>02.331</v>
      </c>
      <c r="D24" s="31" t="str">
        <f>CONCATENATE('Access-Jun'!E24,".",'Access-Jun'!G24)</f>
        <v>0569.212B</v>
      </c>
      <c r="E24" s="32" t="str">
        <f>+'Access-Jun'!F24</f>
        <v>PRESTACAO JURISDICIONAL NA JUSTICA FEDERAL</v>
      </c>
      <c r="F24" s="32" t="str">
        <f>+'Access-Jun'!H24</f>
        <v>BENEFICIOS OBRIGATORIOS AOS SERVIDORES CIVIS, EMPREGADOS, MI</v>
      </c>
      <c r="G24" s="31" t="str">
        <f>IF('Access-Jun'!I24="1","F","S")</f>
        <v>F</v>
      </c>
      <c r="H24" s="31" t="str">
        <f>+'Access-Jun'!J24</f>
        <v>0100</v>
      </c>
      <c r="I24" s="32" t="str">
        <f>+'Access-Jun'!K24</f>
        <v>RECURSOS ORDINARIOS</v>
      </c>
      <c r="J24" s="31" t="str">
        <f>+'Access-Jun'!L24</f>
        <v>3</v>
      </c>
      <c r="K24" s="50"/>
      <c r="L24" s="50"/>
      <c r="M24" s="50"/>
      <c r="N24" s="50">
        <f t="shared" si="0"/>
        <v>0</v>
      </c>
      <c r="O24" s="50"/>
      <c r="P24" s="34">
        <f>'Access-Jun'!M24</f>
        <v>23379489.66</v>
      </c>
      <c r="Q24" s="34"/>
      <c r="R24" s="34">
        <f t="shared" si="1"/>
        <v>23379489.66</v>
      </c>
      <c r="S24" s="39">
        <f>'Access-Jun'!N24</f>
        <v>23011179.66</v>
      </c>
      <c r="T24" s="35">
        <f t="shared" si="2"/>
        <v>0.98424644826058194</v>
      </c>
      <c r="U24" s="34">
        <f>'Access-Jun'!O24</f>
        <v>11179506.439999999</v>
      </c>
      <c r="V24" s="35">
        <f t="shared" si="3"/>
        <v>0.47817581147320903</v>
      </c>
      <c r="W24" s="34">
        <f>'Access-Jun'!P24</f>
        <v>11179506.439999999</v>
      </c>
      <c r="X24" s="35">
        <f t="shared" si="4"/>
        <v>0.47817581147320903</v>
      </c>
    </row>
    <row r="25" spans="1:24" ht="25.5" customHeight="1" x14ac:dyDescent="0.2">
      <c r="A25" s="31" t="str">
        <f>+'Access-Jun'!A25</f>
        <v>12104</v>
      </c>
      <c r="B25" s="32" t="str">
        <f>+'Access-Jun'!B25</f>
        <v>TRIBUNAL REGIONAL FEDERAL DA 3A. REGIAO</v>
      </c>
      <c r="C25" s="31" t="str">
        <f>CONCATENATE('Access-Jun'!C25,".",'Access-Jun'!D25)</f>
        <v>02.846</v>
      </c>
      <c r="D25" s="31" t="str">
        <f>CONCATENATE('Access-Jun'!E25,".",'Access-Jun'!G25)</f>
        <v>0569.09HB</v>
      </c>
      <c r="E25" s="32" t="str">
        <f>+'Access-Jun'!F25</f>
        <v>PRESTACAO JURISDICIONAL NA JUSTICA FEDERAL</v>
      </c>
      <c r="F25" s="32" t="str">
        <f>+'Access-Jun'!H25</f>
        <v>CONTRIBUICAO DA UNIAO, DE SUAS AUTARQUIAS E FUNDACOES PARA O</v>
      </c>
      <c r="G25" s="31" t="str">
        <f>IF('Access-Jun'!I25="1","F","S")</f>
        <v>F</v>
      </c>
      <c r="H25" s="31" t="str">
        <f>+'Access-Jun'!J25</f>
        <v>0100</v>
      </c>
      <c r="I25" s="32" t="str">
        <f>+'Access-Jun'!K25</f>
        <v>RECURSOS ORDINARIOS</v>
      </c>
      <c r="J25" s="31" t="str">
        <f>+'Access-Jun'!L25</f>
        <v>1</v>
      </c>
      <c r="K25" s="50"/>
      <c r="L25" s="50"/>
      <c r="M25" s="50"/>
      <c r="N25" s="50">
        <f t="shared" si="0"/>
        <v>0</v>
      </c>
      <c r="O25" s="50"/>
      <c r="P25" s="34">
        <f>'Access-Jun'!M25</f>
        <v>31875497.390000001</v>
      </c>
      <c r="Q25" s="34"/>
      <c r="R25" s="34">
        <f t="shared" si="1"/>
        <v>31875497.390000001</v>
      </c>
      <c r="S25" s="39">
        <f>'Access-Jun'!N25</f>
        <v>31875497.390000001</v>
      </c>
      <c r="T25" s="35">
        <f t="shared" si="2"/>
        <v>1</v>
      </c>
      <c r="U25" s="34">
        <f>'Access-Jun'!O25</f>
        <v>31875497.390000001</v>
      </c>
      <c r="V25" s="35">
        <f t="shared" si="3"/>
        <v>1</v>
      </c>
      <c r="W25" s="34">
        <f>'Access-Jun'!P25</f>
        <v>31875497.390000001</v>
      </c>
      <c r="X25" s="35">
        <f t="shared" si="4"/>
        <v>1</v>
      </c>
    </row>
    <row r="26" spans="1:24" ht="25.5" customHeight="1" x14ac:dyDescent="0.2">
      <c r="A26" s="31" t="str">
        <f>+'Access-Jun'!A26</f>
        <v>12104</v>
      </c>
      <c r="B26" s="32" t="str">
        <f>+'Access-Jun'!B26</f>
        <v>TRIBUNAL REGIONAL FEDERAL DA 3A. REGIAO</v>
      </c>
      <c r="C26" s="31" t="str">
        <f>CONCATENATE('Access-Jun'!C26,".",'Access-Jun'!D26)</f>
        <v>09.272</v>
      </c>
      <c r="D26" s="31" t="str">
        <f>CONCATENATE('Access-Jun'!E26,".",'Access-Jun'!G26)</f>
        <v>0089.0181</v>
      </c>
      <c r="E26" s="32" t="str">
        <f>+'Access-Jun'!F26</f>
        <v>PREVIDENCIA DE INATIVOS E PENSIONISTAS DA UNIAO</v>
      </c>
      <c r="F26" s="32" t="str">
        <f>+'Access-Jun'!H26</f>
        <v>APOSENTADORIAS E PENSOES CIVIS DA UNIAO</v>
      </c>
      <c r="G26" s="31" t="str">
        <f>IF('Access-Jun'!I26="1","F","S")</f>
        <v>S</v>
      </c>
      <c r="H26" s="31" t="str">
        <f>+'Access-Jun'!J26</f>
        <v>0169</v>
      </c>
      <c r="I26" s="32" t="str">
        <f>+'Access-Jun'!K26</f>
        <v>CONTRIB.PATRONAL P/PLANO DE SEGURID.SOC.SERV.</v>
      </c>
      <c r="J26" s="31" t="str">
        <f>+'Access-Jun'!L26</f>
        <v>1</v>
      </c>
      <c r="K26" s="50"/>
      <c r="L26" s="50"/>
      <c r="M26" s="50"/>
      <c r="N26" s="50">
        <f t="shared" si="0"/>
        <v>0</v>
      </c>
      <c r="O26" s="50"/>
      <c r="P26" s="34">
        <f>'Access-Jun'!M26</f>
        <v>56953427.189999998</v>
      </c>
      <c r="Q26" s="34"/>
      <c r="R26" s="34">
        <f t="shared" si="1"/>
        <v>56953427.189999998</v>
      </c>
      <c r="S26" s="39">
        <f>'Access-Jun'!N26</f>
        <v>56953427.189999998</v>
      </c>
      <c r="T26" s="35">
        <f t="shared" si="2"/>
        <v>1</v>
      </c>
      <c r="U26" s="34">
        <f>'Access-Jun'!O26</f>
        <v>56940697.140000001</v>
      </c>
      <c r="V26" s="35">
        <f t="shared" si="3"/>
        <v>0.99977648316127621</v>
      </c>
      <c r="W26" s="34">
        <f>'Access-Jun'!P26</f>
        <v>56411421.140000001</v>
      </c>
      <c r="X26" s="35">
        <f t="shared" si="4"/>
        <v>0.99048334618754663</v>
      </c>
    </row>
    <row r="27" spans="1:24" ht="25.5" customHeight="1" thickBot="1" x14ac:dyDescent="0.25">
      <c r="A27" s="31" t="str">
        <f>+'Access-Jun'!A27</f>
        <v>12104</v>
      </c>
      <c r="B27" s="32" t="str">
        <f>+'Access-Jun'!B27</f>
        <v>TRIBUNAL REGIONAL FEDERAL DA 3A. REGIAO</v>
      </c>
      <c r="C27" s="31" t="str">
        <f>CONCATENATE('Access-Jun'!C27,".",'Access-Jun'!D27)</f>
        <v>28.846</v>
      </c>
      <c r="D27" s="31" t="str">
        <f>CONCATENATE('Access-Jun'!E27,".",'Access-Jun'!G27)</f>
        <v>0909.0536</v>
      </c>
      <c r="E27" s="32" t="str">
        <f>+'Access-Jun'!F27</f>
        <v>OPERACOES ESPECIAIS: OUTROS ENCARGOS ESPECIAIS</v>
      </c>
      <c r="F27" s="32" t="str">
        <f>+'Access-Jun'!H27</f>
        <v>BENEFICIOS E PENSOES INDENIZATORIAS DECORRENTES DE LEGISLACA</v>
      </c>
      <c r="G27" s="31" t="str">
        <f>IF('Access-Jun'!I27="1","F","S")</f>
        <v>S</v>
      </c>
      <c r="H27" s="31" t="str">
        <f>+'Access-Jun'!J27</f>
        <v>0100</v>
      </c>
      <c r="I27" s="32" t="str">
        <f>+'Access-Jun'!K27</f>
        <v>RECURSOS ORDINARIOS</v>
      </c>
      <c r="J27" s="31" t="str">
        <f>+'Access-Jun'!L27</f>
        <v>3</v>
      </c>
      <c r="K27" s="50"/>
      <c r="L27" s="50"/>
      <c r="M27" s="50"/>
      <c r="N27" s="50">
        <f t="shared" si="0"/>
        <v>0</v>
      </c>
      <c r="O27" s="50"/>
      <c r="P27" s="34">
        <f>'Access-Jun'!M27</f>
        <v>18684</v>
      </c>
      <c r="Q27" s="34"/>
      <c r="R27" s="34">
        <f t="shared" si="1"/>
        <v>18684</v>
      </c>
      <c r="S27" s="39">
        <f>'Access-Jun'!N27</f>
        <v>18684</v>
      </c>
      <c r="T27" s="35">
        <f t="shared" si="2"/>
        <v>1</v>
      </c>
      <c r="U27" s="34">
        <f>'Access-Jun'!O27</f>
        <v>8878.99</v>
      </c>
      <c r="V27" s="35">
        <f t="shared" si="3"/>
        <v>0.47521890387497323</v>
      </c>
      <c r="W27" s="34">
        <f>'Access-Jun'!P27</f>
        <v>8878.99</v>
      </c>
      <c r="X27" s="35">
        <f t="shared" si="4"/>
        <v>0.47521890387497323</v>
      </c>
    </row>
    <row r="28" spans="1:24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408065525.15999997</v>
      </c>
      <c r="Q28" s="52">
        <f>SUM(Q10:Q27)</f>
        <v>0</v>
      </c>
      <c r="R28" s="52">
        <f>SUM(R10:R27)</f>
        <v>408065525.15999997</v>
      </c>
      <c r="S28" s="52">
        <f>SUM(S10:S27)</f>
        <v>363841385.77999997</v>
      </c>
      <c r="T28" s="43">
        <f t="shared" si="2"/>
        <v>0.89162490665522409</v>
      </c>
      <c r="U28" s="52">
        <f>SUM(U10:U27)</f>
        <v>322372729.82000005</v>
      </c>
      <c r="V28" s="43">
        <f t="shared" si="3"/>
        <v>0.79000236467807394</v>
      </c>
      <c r="W28" s="52">
        <f>SUM(W10:W27)</f>
        <v>317679750.00999999</v>
      </c>
      <c r="X28" s="43">
        <f t="shared" si="4"/>
        <v>0.77850181018217535</v>
      </c>
    </row>
    <row r="29" spans="1:24" ht="25.5" customHeight="1" x14ac:dyDescent="0.2">
      <c r="A29" s="83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4" ht="25.5" customHeight="1" x14ac:dyDescent="0.2">
      <c r="A30" s="83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7"/>
      <c r="Q30" s="7"/>
      <c r="R30" s="7"/>
      <c r="S30" s="7"/>
      <c r="T30" s="7"/>
      <c r="U30" s="45"/>
      <c r="V30" s="7"/>
      <c r="W30" s="45"/>
      <c r="X30" s="7"/>
    </row>
    <row r="31" spans="1:24" ht="25.5" customHeight="1" x14ac:dyDescent="0.2">
      <c r="N31" s="81" t="s">
        <v>16</v>
      </c>
      <c r="O31" s="81"/>
      <c r="P31" s="54">
        <f>SUM(P10:P27)</f>
        <v>408065525.15999997</v>
      </c>
      <c r="Q31" s="54"/>
      <c r="R31" s="54">
        <f>SUM(R10:R27)</f>
        <v>408065525.15999997</v>
      </c>
      <c r="S31" s="54">
        <f>SUM(S10:S27)</f>
        <v>363841385.77999997</v>
      </c>
      <c r="T31" s="54"/>
      <c r="U31" s="54">
        <f>SUM(U10:U27)</f>
        <v>322372729.82000005</v>
      </c>
      <c r="V31" s="54"/>
      <c r="W31" s="54">
        <f>SUM(W10:W27)</f>
        <v>317679750.00999999</v>
      </c>
    </row>
    <row r="32" spans="1:24" ht="25.5" customHeight="1" x14ac:dyDescent="0.2">
      <c r="N32" s="81" t="s">
        <v>132</v>
      </c>
      <c r="O32" s="81"/>
      <c r="P32" s="37">
        <f>'Access-Jun'!M29</f>
        <v>408065525.15999997</v>
      </c>
      <c r="Q32" s="37"/>
      <c r="R32" s="37">
        <f>'Access-Jun'!M29</f>
        <v>408065525.15999997</v>
      </c>
      <c r="S32" s="37">
        <f>'Access-Jun'!N29</f>
        <v>363841385.77999997</v>
      </c>
      <c r="T32" s="37"/>
      <c r="U32" s="37">
        <f>'Access-Jun'!O29</f>
        <v>322372729.82000005</v>
      </c>
      <c r="V32" s="37"/>
      <c r="W32" s="37">
        <f>'Access-Jun'!P29</f>
        <v>317679750.00999999</v>
      </c>
    </row>
    <row r="33" spans="1:23" ht="25.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81" t="s">
        <v>17</v>
      </c>
      <c r="O33" s="81"/>
      <c r="P33" s="37">
        <f>P31-P32</f>
        <v>0</v>
      </c>
      <c r="Q33" s="37"/>
      <c r="R33" s="37">
        <f>+R31-R32</f>
        <v>0</v>
      </c>
      <c r="S33" s="37">
        <f>+S31-S32</f>
        <v>0</v>
      </c>
      <c r="T33" s="37"/>
      <c r="U33" s="37">
        <f>+U31-U32</f>
        <v>0</v>
      </c>
      <c r="V33" s="37"/>
      <c r="W33" s="37">
        <f>+W31-W32</f>
        <v>0</v>
      </c>
    </row>
    <row r="34" spans="1:23" ht="25.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P34" s="67"/>
      <c r="U34" s="67"/>
      <c r="W34" s="67"/>
    </row>
    <row r="35" spans="1:23" ht="25.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1" t="s">
        <v>145</v>
      </c>
      <c r="P35" s="37">
        <f>407400211.16+665314</f>
        <v>408065525.16000003</v>
      </c>
      <c r="R35" s="37">
        <f>407400211.16+665314</f>
        <v>408065525.16000003</v>
      </c>
      <c r="S35" s="37">
        <f>363229804.12+611581.66</f>
        <v>363841385.78000003</v>
      </c>
      <c r="U35" s="37">
        <f>322047703.29+325026.53</f>
        <v>322372729.81999999</v>
      </c>
      <c r="W35" s="37">
        <f>317358947.67+320802.34</f>
        <v>317679750.00999999</v>
      </c>
    </row>
    <row r="36" spans="1:23" ht="25.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81" t="s">
        <v>17</v>
      </c>
      <c r="P36" s="72">
        <f>P32-P35</f>
        <v>0</v>
      </c>
      <c r="Q36" s="71"/>
      <c r="R36" s="72">
        <f t="shared" ref="R36:W36" si="5">R32-R35</f>
        <v>0</v>
      </c>
      <c r="S36" s="72">
        <f t="shared" si="5"/>
        <v>0</v>
      </c>
      <c r="T36" s="72"/>
      <c r="U36" s="72">
        <f t="shared" si="5"/>
        <v>0</v>
      </c>
      <c r="V36" s="72">
        <f t="shared" si="5"/>
        <v>0</v>
      </c>
      <c r="W36" s="72">
        <f t="shared" si="5"/>
        <v>0</v>
      </c>
    </row>
    <row r="38" spans="1:23" ht="25.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23" ht="25.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23" ht="25.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23" ht="25.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23" ht="25.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23" ht="25.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</sheetData>
  <mergeCells count="17">
    <mergeCell ref="G8:G9"/>
    <mergeCell ref="A28:J28"/>
    <mergeCell ref="H8:I8"/>
    <mergeCell ref="J8:J9"/>
    <mergeCell ref="A8:B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C8:C9"/>
    <mergeCell ref="D8:D9"/>
    <mergeCell ref="E8:F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  <ignoredErrors>
    <ignoredError sqref="T28 V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"/>
  <sheetViews>
    <sheetView showGridLines="0" tabSelected="1" view="pageBreakPreview" zoomScaleNormal="70" zoomScaleSheetLayoutView="100" workbookViewId="0">
      <selection activeCell="F39" sqref="F39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2.140625" style="3" bestFit="1" customWidth="1"/>
    <col min="17" max="17" width="11" style="1" customWidth="1"/>
    <col min="18" max="18" width="16.85546875" style="3" customWidth="1"/>
    <col min="19" max="19" width="21.5703125" style="1" customWidth="1"/>
    <col min="20" max="20" width="9.5703125" style="3" bestFit="1" customWidth="1"/>
    <col min="21" max="22" width="14.42578125" style="4" bestFit="1" customWidth="1"/>
    <col min="23" max="23" width="14.42578125" style="4" customWidth="1"/>
    <col min="24" max="24" width="14.42578125" style="4" bestFit="1" customWidth="1"/>
    <col min="25" max="25" width="9.28515625" style="4" bestFit="1" customWidth="1"/>
    <col min="26" max="26" width="14.42578125" style="4" bestFit="1" customWidth="1"/>
    <col min="27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43282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+'Access-Jul'!A10</f>
        <v>12104</v>
      </c>
      <c r="B10" s="25" t="str">
        <f>+'Access-Jul'!B10</f>
        <v>TRIBUNAL REGIONAL FEDERAL DA 3A. REGIAO</v>
      </c>
      <c r="C10" s="26" t="str">
        <f>CONCATENATE('Access-Jul'!C10,".",'Access-Jul'!D10)</f>
        <v>02.061</v>
      </c>
      <c r="D10" s="26" t="str">
        <f>CONCATENATE('Access-Jul'!E10,".",'Access-Jul'!G10)</f>
        <v>0569.4224</v>
      </c>
      <c r="E10" s="25" t="str">
        <f>+'Access-Jul'!F10</f>
        <v>PRESTACAO JURISDICIONAL NA JUSTICA FEDERAL</v>
      </c>
      <c r="F10" s="27" t="str">
        <f>+'Access-Jul'!H10</f>
        <v>ASSISTENCIA JURIDICA A PESSOAS CARENTES</v>
      </c>
      <c r="G10" s="24" t="str">
        <f>IF('Access-Jul'!I10="1","F","S")</f>
        <v>F</v>
      </c>
      <c r="H10" s="24" t="str">
        <f>+'Access-Jul'!J10</f>
        <v>0100</v>
      </c>
      <c r="I10" s="28" t="str">
        <f>+'Access-Jul'!K10</f>
        <v>RECURSOS ORDINARIOS</v>
      </c>
      <c r="J10" s="24" t="str">
        <f>+'Access-Jul'!L10</f>
        <v>3</v>
      </c>
      <c r="K10" s="47"/>
      <c r="L10" s="48"/>
      <c r="M10" s="48"/>
      <c r="N10" s="49">
        <f>+K10+L10-M10</f>
        <v>0</v>
      </c>
      <c r="O10" s="47"/>
      <c r="P10" s="29">
        <f>'Access-Jul'!M10</f>
        <v>15000</v>
      </c>
      <c r="Q10" s="29"/>
      <c r="R10" s="29">
        <f>N10-O10+P10</f>
        <v>15000</v>
      </c>
      <c r="S10" s="29">
        <f>'Access-Jul'!N10</f>
        <v>15000</v>
      </c>
      <c r="T10" s="44">
        <f>IF(R10&gt;0,S10/R10,0)</f>
        <v>1</v>
      </c>
      <c r="U10" s="29">
        <f>'Access-Jul'!O10</f>
        <v>0</v>
      </c>
      <c r="V10" s="30">
        <f>IF(R10&gt;0,U10/R10,0)</f>
        <v>0</v>
      </c>
      <c r="W10" s="29">
        <f>'Access-Jul'!P10</f>
        <v>0</v>
      </c>
      <c r="X10" s="30">
        <f>IF(R10&gt;0,W10/R10,0)</f>
        <v>0</v>
      </c>
    </row>
    <row r="11" spans="1:24" ht="25.5" customHeight="1" x14ac:dyDescent="0.2">
      <c r="A11" s="31" t="str">
        <f>+'Access-Jul'!A11</f>
        <v>12104</v>
      </c>
      <c r="B11" s="32" t="str">
        <f>+'Access-Jul'!B11</f>
        <v>TRIBUNAL REGIONAL FEDERAL DA 3A. REGIAO</v>
      </c>
      <c r="C11" s="31" t="str">
        <f>CONCATENATE('Access-Jul'!C11,".",'Access-Jul'!D11)</f>
        <v>02.061</v>
      </c>
      <c r="D11" s="31" t="str">
        <f>CONCATENATE('Access-Jul'!E11,".",'Access-Jul'!G11)</f>
        <v>0569.4257</v>
      </c>
      <c r="E11" s="32" t="str">
        <f>+'Access-Jul'!F11</f>
        <v>PRESTACAO JURISDICIONAL NA JUSTICA FEDERAL</v>
      </c>
      <c r="F11" s="33" t="str">
        <f>+'Access-Jul'!H11</f>
        <v>JULGAMENTO DE CAUSAS NA JUSTICA FEDERAL</v>
      </c>
      <c r="G11" s="31" t="str">
        <f>IF('Access-Jul'!I11="1","F","S")</f>
        <v>F</v>
      </c>
      <c r="H11" s="31" t="str">
        <f>+'Access-Jul'!J11</f>
        <v>0100</v>
      </c>
      <c r="I11" s="32" t="str">
        <f>+'Access-Jul'!K11</f>
        <v>RECURSOS ORDINARIOS</v>
      </c>
      <c r="J11" s="31" t="str">
        <f>+'Access-Jul'!L11</f>
        <v>4</v>
      </c>
      <c r="K11" s="50"/>
      <c r="L11" s="50"/>
      <c r="M11" s="50"/>
      <c r="N11" s="51">
        <f t="shared" ref="N11:N27" si="0">+K11+L11-M11</f>
        <v>0</v>
      </c>
      <c r="O11" s="50"/>
      <c r="P11" s="34">
        <f>'Access-Jul'!M11</f>
        <v>4492136</v>
      </c>
      <c r="Q11" s="34"/>
      <c r="R11" s="34">
        <f t="shared" ref="R11:R27" si="1">N11-O11+P11</f>
        <v>4492136</v>
      </c>
      <c r="S11" s="34">
        <f>'Access-Jul'!N11</f>
        <v>61224.19</v>
      </c>
      <c r="T11" s="35">
        <f t="shared" ref="T11:T28" si="2">IF(R11&gt;0,S11/R11,0)</f>
        <v>1.3629193328073773E-2</v>
      </c>
      <c r="U11" s="34">
        <f>'Access-Jul'!O11</f>
        <v>7766.79</v>
      </c>
      <c r="V11" s="35">
        <f t="shared" ref="V11:V28" si="3">IF(R11&gt;0,U11/R11,0)</f>
        <v>1.7289748128729852E-3</v>
      </c>
      <c r="W11" s="34">
        <f>'Access-Jul'!P11</f>
        <v>7766.79</v>
      </c>
      <c r="X11" s="35">
        <f t="shared" ref="X11:X28" si="4">IF(R11&gt;0,W11/R11,0)</f>
        <v>1.7289748128729852E-3</v>
      </c>
    </row>
    <row r="12" spans="1:24" ht="25.5" customHeight="1" x14ac:dyDescent="0.2">
      <c r="A12" s="31" t="str">
        <f>+'Access-Jul'!A12</f>
        <v>12104</v>
      </c>
      <c r="B12" s="32" t="str">
        <f>+'Access-Jul'!B12</f>
        <v>TRIBUNAL REGIONAL FEDERAL DA 3A. REGIAO</v>
      </c>
      <c r="C12" s="31" t="str">
        <f>CONCATENATE('Access-Jul'!C12,".",'Access-Jul'!D12)</f>
        <v>02.061</v>
      </c>
      <c r="D12" s="31" t="str">
        <f>CONCATENATE('Access-Jul'!E12,".",'Access-Jul'!G12)</f>
        <v>0569.4257</v>
      </c>
      <c r="E12" s="32" t="str">
        <f>+'Access-Jul'!F12</f>
        <v>PRESTACAO JURISDICIONAL NA JUSTICA FEDERAL</v>
      </c>
      <c r="F12" s="32" t="str">
        <f>+'Access-Jul'!H12</f>
        <v>JULGAMENTO DE CAUSAS NA JUSTICA FEDERAL</v>
      </c>
      <c r="G12" s="31" t="str">
        <f>IF('Access-Jul'!I12="1","F","S")</f>
        <v>F</v>
      </c>
      <c r="H12" s="31" t="str">
        <f>+'Access-Jul'!J12</f>
        <v>0100</v>
      </c>
      <c r="I12" s="32" t="str">
        <f>+'Access-Jul'!K12</f>
        <v>RECURSOS ORDINARIOS</v>
      </c>
      <c r="J12" s="31" t="str">
        <f>+'Access-Jul'!L12</f>
        <v>3</v>
      </c>
      <c r="K12" s="34"/>
      <c r="L12" s="34"/>
      <c r="M12" s="34"/>
      <c r="N12" s="50">
        <f t="shared" si="0"/>
        <v>0</v>
      </c>
      <c r="O12" s="34"/>
      <c r="P12" s="34">
        <f>'Access-Jul'!M12</f>
        <v>53948153</v>
      </c>
      <c r="Q12" s="34"/>
      <c r="R12" s="34">
        <f t="shared" si="1"/>
        <v>53948153</v>
      </c>
      <c r="S12" s="39">
        <f>'Access-Jul'!N12</f>
        <v>41868684.729999997</v>
      </c>
      <c r="T12" s="35">
        <f t="shared" si="2"/>
        <v>0.77609116163810088</v>
      </c>
      <c r="U12" s="34">
        <f>'Access-Jul'!O12</f>
        <v>19879191.539999999</v>
      </c>
      <c r="V12" s="35">
        <f t="shared" si="3"/>
        <v>0.36848697192654584</v>
      </c>
      <c r="W12" s="34">
        <f>'Access-Jul'!P12</f>
        <v>18490504</v>
      </c>
      <c r="X12" s="35">
        <f t="shared" si="4"/>
        <v>0.34274582115906732</v>
      </c>
    </row>
    <row r="13" spans="1:24" ht="25.5" customHeight="1" x14ac:dyDescent="0.2">
      <c r="A13" s="31" t="str">
        <f>+'Access-Jul'!A13</f>
        <v>12104</v>
      </c>
      <c r="B13" s="32" t="str">
        <f>+'Access-Jul'!B13</f>
        <v>TRIBUNAL REGIONAL FEDERAL DA 3A. REGIAO</v>
      </c>
      <c r="C13" s="31" t="str">
        <f>CONCATENATE('Access-Jul'!C13,".",'Access-Jul'!D13)</f>
        <v>02.061</v>
      </c>
      <c r="D13" s="31" t="str">
        <f>CONCATENATE('Access-Jul'!E13,".",'Access-Jul'!G13)</f>
        <v>0569.4257</v>
      </c>
      <c r="E13" s="32" t="str">
        <f>+'Access-Jul'!F13</f>
        <v>PRESTACAO JURISDICIONAL NA JUSTICA FEDERAL</v>
      </c>
      <c r="F13" s="32" t="str">
        <f>+'Access-Jul'!H13</f>
        <v>JULGAMENTO DE CAUSAS NA JUSTICA FEDERAL</v>
      </c>
      <c r="G13" s="31" t="str">
        <f>IF('Access-Jul'!I13="1","F","S")</f>
        <v>F</v>
      </c>
      <c r="H13" s="31" t="str">
        <f>+'Access-Jul'!J13</f>
        <v>0127</v>
      </c>
      <c r="I13" s="32" t="str">
        <f>+'Access-Jul'!K13</f>
        <v>CUSTAS E EMOLUMENTOS - PODER JUDICIARIO</v>
      </c>
      <c r="J13" s="31" t="str">
        <f>+'Access-Jul'!L13</f>
        <v>3</v>
      </c>
      <c r="K13" s="34"/>
      <c r="L13" s="34"/>
      <c r="M13" s="34"/>
      <c r="N13" s="50">
        <f t="shared" si="0"/>
        <v>0</v>
      </c>
      <c r="O13" s="34"/>
      <c r="P13" s="34">
        <f>'Access-Jul'!M13</f>
        <v>7243081</v>
      </c>
      <c r="Q13" s="34"/>
      <c r="R13" s="34">
        <f t="shared" si="1"/>
        <v>7243081</v>
      </c>
      <c r="S13" s="39">
        <f>'Access-Jul'!N13</f>
        <v>7159159.6799999997</v>
      </c>
      <c r="T13" s="35">
        <f t="shared" si="2"/>
        <v>0.98841358808495994</v>
      </c>
      <c r="U13" s="34">
        <f>'Access-Jul'!O13</f>
        <v>4237895.97</v>
      </c>
      <c r="V13" s="35">
        <f t="shared" si="3"/>
        <v>0.58509575828297378</v>
      </c>
      <c r="W13" s="34">
        <f>'Access-Jul'!P13</f>
        <v>3931058.04</v>
      </c>
      <c r="X13" s="35">
        <f t="shared" si="4"/>
        <v>0.54273285636319679</v>
      </c>
    </row>
    <row r="14" spans="1:24" ht="25.5" customHeight="1" x14ac:dyDescent="0.2">
      <c r="A14" s="31" t="str">
        <f>+'Access-Jul'!A14</f>
        <v>12104</v>
      </c>
      <c r="B14" s="32" t="str">
        <f>+'Access-Jul'!B14</f>
        <v>TRIBUNAL REGIONAL FEDERAL DA 3A. REGIAO</v>
      </c>
      <c r="C14" s="31" t="str">
        <f>CONCATENATE('Access-Jul'!C14,".",'Access-Jul'!D14)</f>
        <v>02.061</v>
      </c>
      <c r="D14" s="31" t="str">
        <f>CONCATENATE('Access-Jul'!E14,".",'Access-Jul'!G14)</f>
        <v>0569.4257</v>
      </c>
      <c r="E14" s="32" t="str">
        <f>+'Access-Jul'!F14</f>
        <v>PRESTACAO JURISDICIONAL NA JUSTICA FEDERAL</v>
      </c>
      <c r="F14" s="32" t="str">
        <f>+'Access-Jul'!H14</f>
        <v>JULGAMENTO DE CAUSAS NA JUSTICA FEDERAL</v>
      </c>
      <c r="G14" s="31" t="str">
        <f>IF('Access-Jul'!I14="1","F","S")</f>
        <v>F</v>
      </c>
      <c r="H14" s="31" t="str">
        <f>+'Access-Jul'!J14</f>
        <v>0181</v>
      </c>
      <c r="I14" s="32" t="str">
        <f>+'Access-Jul'!K14</f>
        <v>RECURSOS DE CONVENIOS</v>
      </c>
      <c r="J14" s="31" t="str">
        <f>+'Access-Jul'!L14</f>
        <v>4</v>
      </c>
      <c r="K14" s="34"/>
      <c r="L14" s="34"/>
      <c r="M14" s="34"/>
      <c r="N14" s="50">
        <f t="shared" si="0"/>
        <v>0</v>
      </c>
      <c r="O14" s="34"/>
      <c r="P14" s="34">
        <f>'Access-Jul'!M14</f>
        <v>3394236</v>
      </c>
      <c r="Q14" s="34"/>
      <c r="R14" s="34">
        <f t="shared" si="1"/>
        <v>3394236</v>
      </c>
      <c r="S14" s="39">
        <f>'Access-Jul'!N14</f>
        <v>0</v>
      </c>
      <c r="T14" s="35">
        <f t="shared" si="2"/>
        <v>0</v>
      </c>
      <c r="U14" s="34">
        <f>'Access-Jul'!O14</f>
        <v>0</v>
      </c>
      <c r="V14" s="35">
        <f t="shared" si="3"/>
        <v>0</v>
      </c>
      <c r="W14" s="34">
        <f>'Access-Jul'!P14</f>
        <v>0</v>
      </c>
      <c r="X14" s="35">
        <f t="shared" si="4"/>
        <v>0</v>
      </c>
    </row>
    <row r="15" spans="1:24" ht="25.5" customHeight="1" x14ac:dyDescent="0.2">
      <c r="A15" s="31" t="str">
        <f>+'Access-Jul'!A15</f>
        <v>12104</v>
      </c>
      <c r="B15" s="32" t="str">
        <f>+'Access-Jul'!B15</f>
        <v>TRIBUNAL REGIONAL FEDERAL DA 3A. REGIAO</v>
      </c>
      <c r="C15" s="31" t="str">
        <f>CONCATENATE('Access-Jul'!C15,".",'Access-Jul'!D15)</f>
        <v>02.122</v>
      </c>
      <c r="D15" s="31" t="str">
        <f>CONCATENATE('Access-Jul'!E15,".",'Access-Jul'!G15)</f>
        <v>0569.15NZ</v>
      </c>
      <c r="E15" s="32" t="str">
        <f>+'Access-Jul'!F15</f>
        <v>PRESTACAO JURISDICIONAL NA JUSTICA FEDERAL</v>
      </c>
      <c r="F15" s="32" t="str">
        <f>+'Access-Jul'!H15</f>
        <v>REFORMA DO EDIFICIO-SEDE DO TRIBUNAL REGIONAL FEDERAL DA 3.</v>
      </c>
      <c r="G15" s="31" t="str">
        <f>IF('Access-Jul'!I15="1","F","S")</f>
        <v>F</v>
      </c>
      <c r="H15" s="31" t="str">
        <f>+'Access-Jul'!J15</f>
        <v>0100</v>
      </c>
      <c r="I15" s="32" t="str">
        <f>+'Access-Jul'!K15</f>
        <v>RECURSOS ORDINARIOS</v>
      </c>
      <c r="J15" s="31" t="str">
        <f>+'Access-Jul'!L15</f>
        <v>4</v>
      </c>
      <c r="K15" s="50"/>
      <c r="L15" s="50"/>
      <c r="M15" s="50"/>
      <c r="N15" s="50">
        <f t="shared" si="0"/>
        <v>0</v>
      </c>
      <c r="O15" s="50"/>
      <c r="P15" s="34">
        <f>'Access-Jul'!M15</f>
        <v>5109000</v>
      </c>
      <c r="Q15" s="34"/>
      <c r="R15" s="34">
        <f t="shared" si="1"/>
        <v>5109000</v>
      </c>
      <c r="S15" s="39">
        <f>'Access-Jul'!N15</f>
        <v>14980</v>
      </c>
      <c r="T15" s="35">
        <f t="shared" si="2"/>
        <v>2.9320806420043062E-3</v>
      </c>
      <c r="U15" s="34">
        <f>'Access-Jul'!O15</f>
        <v>0</v>
      </c>
      <c r="V15" s="35">
        <f t="shared" si="3"/>
        <v>0</v>
      </c>
      <c r="W15" s="34">
        <f>'Access-Jul'!P15</f>
        <v>0</v>
      </c>
      <c r="X15" s="35">
        <f t="shared" si="4"/>
        <v>0</v>
      </c>
    </row>
    <row r="16" spans="1:24" ht="25.5" customHeight="1" x14ac:dyDescent="0.2">
      <c r="A16" s="31" t="str">
        <f>+'Access-Jul'!A16</f>
        <v>12104</v>
      </c>
      <c r="B16" s="32" t="str">
        <f>+'Access-Jul'!B16</f>
        <v>TRIBUNAL REGIONAL FEDERAL DA 3A. REGIAO</v>
      </c>
      <c r="C16" s="31" t="str">
        <f>CONCATENATE('Access-Jul'!C16,".",'Access-Jul'!D16)</f>
        <v>02.122</v>
      </c>
      <c r="D16" s="31" t="str">
        <f>CONCATENATE('Access-Jul'!E16,".",'Access-Jul'!G16)</f>
        <v>0569.15PC</v>
      </c>
      <c r="E16" s="32" t="str">
        <f>+'Access-Jul'!F16</f>
        <v>PRESTACAO JURISDICIONAL NA JUSTICA FEDERAL</v>
      </c>
      <c r="F16" s="32" t="str">
        <f>+'Access-Jul'!H16</f>
        <v>AQUISICAO DE IMOVEIS PARA FUNCIONAMENTO DO TRF3 DA 3. REGIAO</v>
      </c>
      <c r="G16" s="31" t="str">
        <f>IF('Access-Jul'!I16="1","F","S")</f>
        <v>F</v>
      </c>
      <c r="H16" s="31" t="str">
        <f>+'Access-Jul'!J16</f>
        <v>0181</v>
      </c>
      <c r="I16" s="32" t="str">
        <f>+'Access-Jul'!K16</f>
        <v>RECURSOS DE CONVENIOS</v>
      </c>
      <c r="J16" s="31" t="str">
        <f>+'Access-Jul'!L16</f>
        <v>5</v>
      </c>
      <c r="K16" s="34"/>
      <c r="L16" s="34"/>
      <c r="M16" s="34"/>
      <c r="N16" s="50">
        <f t="shared" si="0"/>
        <v>0</v>
      </c>
      <c r="O16" s="34"/>
      <c r="P16" s="34">
        <f>'Access-Jul'!M16</f>
        <v>9000000</v>
      </c>
      <c r="Q16" s="34"/>
      <c r="R16" s="34">
        <f t="shared" si="1"/>
        <v>9000000</v>
      </c>
      <c r="S16" s="39">
        <f>'Access-Jul'!N16</f>
        <v>0</v>
      </c>
      <c r="T16" s="35">
        <f t="shared" si="2"/>
        <v>0</v>
      </c>
      <c r="U16" s="34">
        <f>'Access-Jul'!O16</f>
        <v>0</v>
      </c>
      <c r="V16" s="35">
        <f t="shared" si="3"/>
        <v>0</v>
      </c>
      <c r="W16" s="34">
        <f>'Access-Jul'!P16</f>
        <v>0</v>
      </c>
      <c r="X16" s="35">
        <f t="shared" si="4"/>
        <v>0</v>
      </c>
    </row>
    <row r="17" spans="1:26" ht="25.5" customHeight="1" x14ac:dyDescent="0.2">
      <c r="A17" s="31" t="str">
        <f>+'Access-Jul'!A17</f>
        <v>12104</v>
      </c>
      <c r="B17" s="32" t="str">
        <f>+'Access-Jul'!B17</f>
        <v>TRIBUNAL REGIONAL FEDERAL DA 3A. REGIAO</v>
      </c>
      <c r="C17" s="31" t="str">
        <f>CONCATENATE('Access-Jul'!C17,".",'Access-Jul'!D17)</f>
        <v>02.122</v>
      </c>
      <c r="D17" s="31" t="str">
        <f>CONCATENATE('Access-Jul'!E17,".",'Access-Jul'!G17)</f>
        <v>0569.20TP</v>
      </c>
      <c r="E17" s="32" t="str">
        <f>+'Access-Jul'!F17</f>
        <v>PRESTACAO JURISDICIONAL NA JUSTICA FEDERAL</v>
      </c>
      <c r="F17" s="32" t="str">
        <f>+'Access-Jul'!H17</f>
        <v>ATIVOS CIVIS DA UNIAO</v>
      </c>
      <c r="G17" s="31" t="str">
        <f>IF('Access-Jul'!I17="1","F","S")</f>
        <v>F</v>
      </c>
      <c r="H17" s="31" t="str">
        <f>+'Access-Jul'!J17</f>
        <v>0100</v>
      </c>
      <c r="I17" s="32" t="str">
        <f>+'Access-Jul'!K17</f>
        <v>RECURSOS ORDINARIOS</v>
      </c>
      <c r="J17" s="31" t="str">
        <f>+'Access-Jul'!L17</f>
        <v>1</v>
      </c>
      <c r="K17" s="34"/>
      <c r="L17" s="34"/>
      <c r="M17" s="34"/>
      <c r="N17" s="50">
        <f t="shared" si="0"/>
        <v>0</v>
      </c>
      <c r="O17" s="34"/>
      <c r="P17" s="34">
        <f>'Access-Jul'!M17</f>
        <v>226205052.34</v>
      </c>
      <c r="Q17" s="34"/>
      <c r="R17" s="34">
        <f t="shared" si="1"/>
        <v>226205052.34</v>
      </c>
      <c r="S17" s="39">
        <f>'Access-Jul'!N17</f>
        <v>226205052.34</v>
      </c>
      <c r="T17" s="35">
        <f t="shared" si="2"/>
        <v>1</v>
      </c>
      <c r="U17" s="34">
        <f>'Access-Jul'!O17</f>
        <v>226197759.83000001</v>
      </c>
      <c r="V17" s="35">
        <f t="shared" si="3"/>
        <v>0.9999677615069843</v>
      </c>
      <c r="W17" s="34">
        <f>'Access-Jul'!P17</f>
        <v>224544431.09999999</v>
      </c>
      <c r="X17" s="35">
        <f t="shared" si="4"/>
        <v>0.99265877917923784</v>
      </c>
    </row>
    <row r="18" spans="1:26" ht="25.5" customHeight="1" x14ac:dyDescent="0.2">
      <c r="A18" s="31" t="str">
        <f>+'Access-Jul'!A18</f>
        <v>12104</v>
      </c>
      <c r="B18" s="32" t="str">
        <f>+'Access-Jul'!B18</f>
        <v>TRIBUNAL REGIONAL FEDERAL DA 3A. REGIAO</v>
      </c>
      <c r="C18" s="31" t="str">
        <f>CONCATENATE('Access-Jul'!C18,".",'Access-Jul'!D18)</f>
        <v>02.122</v>
      </c>
      <c r="D18" s="31" t="str">
        <f>CONCATENATE('Access-Jul'!E18,".",'Access-Jul'!G18)</f>
        <v>0569.216H</v>
      </c>
      <c r="E18" s="32" t="str">
        <f>+'Access-Jul'!F18</f>
        <v>PRESTACAO JURISDICIONAL NA JUSTICA FEDERAL</v>
      </c>
      <c r="F18" s="32" t="str">
        <f>+'Access-Jul'!H18</f>
        <v>AJUDA DE CUSTO PARA MORADIA OU AUXILIO-MORADIA A AGENTES PUB</v>
      </c>
      <c r="G18" s="31" t="str">
        <f>IF('Access-Jul'!I18="1","F","S")</f>
        <v>F</v>
      </c>
      <c r="H18" s="31" t="str">
        <f>+'Access-Jul'!J18</f>
        <v>0100</v>
      </c>
      <c r="I18" s="32" t="str">
        <f>+'Access-Jul'!K18</f>
        <v>RECURSOS ORDINARIOS</v>
      </c>
      <c r="J18" s="31" t="str">
        <f>+'Access-Jul'!L18</f>
        <v>3</v>
      </c>
      <c r="K18" s="50"/>
      <c r="L18" s="50"/>
      <c r="M18" s="50"/>
      <c r="N18" s="50">
        <f t="shared" si="0"/>
        <v>0</v>
      </c>
      <c r="O18" s="50"/>
      <c r="P18" s="34">
        <f>'Access-Jul'!M18</f>
        <v>2442858</v>
      </c>
      <c r="Q18" s="34"/>
      <c r="R18" s="34">
        <f t="shared" si="1"/>
        <v>2442858</v>
      </c>
      <c r="S18" s="39">
        <f>'Access-Jul'!N18</f>
        <v>1385782.24</v>
      </c>
      <c r="T18" s="35">
        <f t="shared" si="2"/>
        <v>0.56727908048687237</v>
      </c>
      <c r="U18" s="34">
        <f>'Access-Jul'!O18</f>
        <v>1305574.24</v>
      </c>
      <c r="V18" s="35">
        <f t="shared" si="3"/>
        <v>0.53444540779693295</v>
      </c>
      <c r="W18" s="34">
        <f>'Access-Jul'!P18</f>
        <v>1305574.24</v>
      </c>
      <c r="X18" s="35">
        <f t="shared" si="4"/>
        <v>0.53444540779693295</v>
      </c>
    </row>
    <row r="19" spans="1:26" ht="25.5" customHeight="1" x14ac:dyDescent="0.2">
      <c r="A19" s="31" t="str">
        <f>+'Access-Jul'!A19</f>
        <v>12104</v>
      </c>
      <c r="B19" s="32" t="str">
        <f>+'Access-Jul'!B19</f>
        <v>TRIBUNAL REGIONAL FEDERAL DA 3A. REGIAO</v>
      </c>
      <c r="C19" s="31" t="str">
        <f>CONCATENATE('Access-Jul'!C19,".",'Access-Jul'!D19)</f>
        <v>02.126</v>
      </c>
      <c r="D19" s="31" t="str">
        <f>CONCATENATE('Access-Jul'!E19,".",'Access-Jul'!G19)</f>
        <v>0569.151W</v>
      </c>
      <c r="E19" s="32" t="str">
        <f>+'Access-Jul'!F19</f>
        <v>PRESTACAO JURISDICIONAL NA JUSTICA FEDERAL</v>
      </c>
      <c r="F19" s="32" t="str">
        <f>+'Access-Jul'!H19</f>
        <v>DESENVOLVIMENTO E IMPLANTACAO DO SISTEMA PROCESSO JUDICIAL E</v>
      </c>
      <c r="G19" s="31" t="str">
        <f>IF('Access-Jul'!I19="1","F","S")</f>
        <v>F</v>
      </c>
      <c r="H19" s="31" t="str">
        <f>+'Access-Jul'!J19</f>
        <v>0100</v>
      </c>
      <c r="I19" s="32" t="str">
        <f>+'Access-Jul'!K19</f>
        <v>RECURSOS ORDINARIOS</v>
      </c>
      <c r="J19" s="31" t="str">
        <f>+'Access-Jul'!L19</f>
        <v>4</v>
      </c>
      <c r="K19" s="50"/>
      <c r="L19" s="50"/>
      <c r="M19" s="50"/>
      <c r="N19" s="50">
        <f t="shared" si="0"/>
        <v>0</v>
      </c>
      <c r="O19" s="50"/>
      <c r="P19" s="34">
        <f>'Access-Jul'!M19</f>
        <v>803039</v>
      </c>
      <c r="Q19" s="34"/>
      <c r="R19" s="34">
        <f t="shared" si="1"/>
        <v>803039</v>
      </c>
      <c r="S19" s="39">
        <f>'Access-Jul'!N19</f>
        <v>0</v>
      </c>
      <c r="T19" s="35">
        <f t="shared" si="2"/>
        <v>0</v>
      </c>
      <c r="U19" s="34">
        <f>'Access-Jul'!O19</f>
        <v>0</v>
      </c>
      <c r="V19" s="35">
        <f t="shared" si="3"/>
        <v>0</v>
      </c>
      <c r="W19" s="34">
        <f>'Access-Jul'!P19</f>
        <v>0</v>
      </c>
      <c r="X19" s="35">
        <f t="shared" si="4"/>
        <v>0</v>
      </c>
    </row>
    <row r="20" spans="1:26" ht="25.5" customHeight="1" x14ac:dyDescent="0.2">
      <c r="A20" s="31" t="str">
        <f>+'Access-Jul'!A20</f>
        <v>12104</v>
      </c>
      <c r="B20" s="32" t="str">
        <f>+'Access-Jul'!B20</f>
        <v>TRIBUNAL REGIONAL FEDERAL DA 3A. REGIAO</v>
      </c>
      <c r="C20" s="31" t="str">
        <f>CONCATENATE('Access-Jul'!C20,".",'Access-Jul'!D20)</f>
        <v>02.126</v>
      </c>
      <c r="D20" s="31" t="str">
        <f>CONCATENATE('Access-Jul'!E20,".",'Access-Jul'!G20)</f>
        <v>0569.151W</v>
      </c>
      <c r="E20" s="32" t="str">
        <f>+'Access-Jul'!F20</f>
        <v>PRESTACAO JURISDICIONAL NA JUSTICA FEDERAL</v>
      </c>
      <c r="F20" s="32" t="str">
        <f>+'Access-Jul'!H20</f>
        <v>DESENVOLVIMENTO E IMPLANTACAO DO SISTEMA PROCESSO JUDICIAL E</v>
      </c>
      <c r="G20" s="31" t="str">
        <f>IF('Access-Jul'!I20="1","F","S")</f>
        <v>F</v>
      </c>
      <c r="H20" s="31" t="str">
        <f>+'Access-Jul'!J20</f>
        <v>0100</v>
      </c>
      <c r="I20" s="32" t="str">
        <f>+'Access-Jul'!K20</f>
        <v>RECURSOS ORDINARIOS</v>
      </c>
      <c r="J20" s="31" t="str">
        <f>+'Access-Jul'!L20</f>
        <v>3</v>
      </c>
      <c r="K20" s="50"/>
      <c r="L20" s="50"/>
      <c r="M20" s="50"/>
      <c r="N20" s="50">
        <f t="shared" si="0"/>
        <v>0</v>
      </c>
      <c r="O20" s="50"/>
      <c r="P20" s="34">
        <f>'Access-Jul'!M20</f>
        <v>858773</v>
      </c>
      <c r="Q20" s="34"/>
      <c r="R20" s="34">
        <f t="shared" si="1"/>
        <v>858773</v>
      </c>
      <c r="S20" s="39">
        <f>'Access-Jul'!N20</f>
        <v>824734</v>
      </c>
      <c r="T20" s="35">
        <f t="shared" si="2"/>
        <v>0.96036321589057871</v>
      </c>
      <c r="U20" s="34">
        <f>'Access-Jul'!O20</f>
        <v>262188.28000000003</v>
      </c>
      <c r="V20" s="35">
        <f t="shared" si="3"/>
        <v>0.30530568613591719</v>
      </c>
      <c r="W20" s="34">
        <f>'Access-Jul'!P20</f>
        <v>262188.28000000003</v>
      </c>
      <c r="X20" s="35">
        <f t="shared" si="4"/>
        <v>0.30530568613591719</v>
      </c>
    </row>
    <row r="21" spans="1:26" ht="25.5" customHeight="1" x14ac:dyDescent="0.2">
      <c r="A21" s="31" t="str">
        <f>+'Access-Jul'!A21</f>
        <v>12104</v>
      </c>
      <c r="B21" s="32" t="str">
        <f>+'Access-Jul'!B21</f>
        <v>TRIBUNAL REGIONAL FEDERAL DA 3A. REGIAO</v>
      </c>
      <c r="C21" s="31" t="str">
        <f>CONCATENATE('Access-Jul'!C21,".",'Access-Jul'!D21)</f>
        <v>02.131</v>
      </c>
      <c r="D21" s="31" t="str">
        <f>CONCATENATE('Access-Jul'!E21,".",'Access-Jul'!G21)</f>
        <v>0569.2549</v>
      </c>
      <c r="E21" s="32" t="str">
        <f>+'Access-Jul'!F21</f>
        <v>PRESTACAO JURISDICIONAL NA JUSTICA FEDERAL</v>
      </c>
      <c r="F21" s="32" t="str">
        <f>+'Access-Jul'!H21</f>
        <v>COMUNICACAO E DIVULGACAO INSTITUCIONAL</v>
      </c>
      <c r="G21" s="31" t="str">
        <f>IF('Access-Jul'!I21="1","F","S")</f>
        <v>F</v>
      </c>
      <c r="H21" s="31" t="str">
        <f>+'Access-Jul'!J21</f>
        <v>0100</v>
      </c>
      <c r="I21" s="32" t="str">
        <f>+'Access-Jul'!K21</f>
        <v>RECURSOS ORDINARIOS</v>
      </c>
      <c r="J21" s="31" t="str">
        <f>+'Access-Jul'!L21</f>
        <v>3</v>
      </c>
      <c r="K21" s="50"/>
      <c r="L21" s="50"/>
      <c r="M21" s="50"/>
      <c r="N21" s="50">
        <f t="shared" si="0"/>
        <v>0</v>
      </c>
      <c r="O21" s="50"/>
      <c r="P21" s="34">
        <f>'Access-Jul'!M21</f>
        <v>560609</v>
      </c>
      <c r="Q21" s="34"/>
      <c r="R21" s="34">
        <f t="shared" si="1"/>
        <v>560609</v>
      </c>
      <c r="S21" s="39">
        <f>'Access-Jul'!N21</f>
        <v>483456.48</v>
      </c>
      <c r="T21" s="35">
        <f t="shared" si="2"/>
        <v>0.86237730753519826</v>
      </c>
      <c r="U21" s="34">
        <f>'Access-Jul'!O21</f>
        <v>250576.26</v>
      </c>
      <c r="V21" s="35">
        <f t="shared" si="3"/>
        <v>0.44697152560875764</v>
      </c>
      <c r="W21" s="34">
        <f>'Access-Jul'!P21</f>
        <v>250576.26</v>
      </c>
      <c r="X21" s="35">
        <f t="shared" si="4"/>
        <v>0.44697152560875764</v>
      </c>
    </row>
    <row r="22" spans="1:26" ht="25.5" customHeight="1" x14ac:dyDescent="0.2">
      <c r="A22" s="31" t="str">
        <f>+'Access-Jul'!A22</f>
        <v>12104</v>
      </c>
      <c r="B22" s="32" t="str">
        <f>+'Access-Jul'!B22</f>
        <v>TRIBUNAL REGIONAL FEDERAL DA 3A. REGIAO</v>
      </c>
      <c r="C22" s="31" t="str">
        <f>CONCATENATE('Access-Jul'!C22,".",'Access-Jul'!D22)</f>
        <v>02.301</v>
      </c>
      <c r="D22" s="31" t="str">
        <f>CONCATENATE('Access-Jul'!E22,".",'Access-Jul'!G22)</f>
        <v>0569.2004</v>
      </c>
      <c r="E22" s="32" t="str">
        <f>+'Access-Jul'!F22</f>
        <v>PRESTACAO JURISDICIONAL NA JUSTICA FEDERAL</v>
      </c>
      <c r="F22" s="32" t="str">
        <f>+'Access-Jul'!H22</f>
        <v>ASSISTENCIA MEDICA E ODONTOLOGICA AOS SERVIDORES CIVIS, EMPR</v>
      </c>
      <c r="G22" s="31" t="str">
        <f>IF('Access-Jul'!I22="1","F","S")</f>
        <v>S</v>
      </c>
      <c r="H22" s="31" t="str">
        <f>+'Access-Jul'!J22</f>
        <v>0100</v>
      </c>
      <c r="I22" s="32" t="str">
        <f>+'Access-Jul'!K22</f>
        <v>RECURSOS ORDINARIOS</v>
      </c>
      <c r="J22" s="31" t="str">
        <f>+'Access-Jul'!L22</f>
        <v>4</v>
      </c>
      <c r="K22" s="50"/>
      <c r="L22" s="50"/>
      <c r="M22" s="50"/>
      <c r="N22" s="50">
        <f t="shared" si="0"/>
        <v>0</v>
      </c>
      <c r="O22" s="50"/>
      <c r="P22" s="34">
        <f>'Access-Jul'!M22</f>
        <v>15000</v>
      </c>
      <c r="Q22" s="34"/>
      <c r="R22" s="34">
        <f t="shared" si="1"/>
        <v>15000</v>
      </c>
      <c r="S22" s="39">
        <f>'Access-Jul'!N22</f>
        <v>0</v>
      </c>
      <c r="T22" s="35">
        <f t="shared" si="2"/>
        <v>0</v>
      </c>
      <c r="U22" s="34">
        <f>'Access-Jul'!O22</f>
        <v>0</v>
      </c>
      <c r="V22" s="35">
        <f t="shared" si="3"/>
        <v>0</v>
      </c>
      <c r="W22" s="34">
        <f>'Access-Jul'!P22</f>
        <v>0</v>
      </c>
      <c r="X22" s="35">
        <f t="shared" si="4"/>
        <v>0</v>
      </c>
    </row>
    <row r="23" spans="1:26" ht="25.5" customHeight="1" x14ac:dyDescent="0.2">
      <c r="A23" s="31" t="str">
        <f>+'Access-Jul'!A23</f>
        <v>12104</v>
      </c>
      <c r="B23" s="32" t="str">
        <f>+'Access-Jul'!B23</f>
        <v>TRIBUNAL REGIONAL FEDERAL DA 3A. REGIAO</v>
      </c>
      <c r="C23" s="31" t="str">
        <f>CONCATENATE('Access-Jul'!C23,".",'Access-Jul'!D23)</f>
        <v>02.301</v>
      </c>
      <c r="D23" s="31" t="str">
        <f>CONCATENATE('Access-Jul'!E23,".",'Access-Jul'!G23)</f>
        <v>0569.2004</v>
      </c>
      <c r="E23" s="32" t="str">
        <f>+'Access-Jul'!F23</f>
        <v>PRESTACAO JURISDICIONAL NA JUSTICA FEDERAL</v>
      </c>
      <c r="F23" s="32" t="str">
        <f>+'Access-Jul'!H23</f>
        <v>ASSISTENCIA MEDICA E ODONTOLOGICA AOS SERVIDORES CIVIS, EMPR</v>
      </c>
      <c r="G23" s="31" t="str">
        <f>IF('Access-Jul'!I23="1","F","S")</f>
        <v>S</v>
      </c>
      <c r="H23" s="31" t="str">
        <f>+'Access-Jul'!J23</f>
        <v>0100</v>
      </c>
      <c r="I23" s="32" t="str">
        <f>+'Access-Jul'!K23</f>
        <v>RECURSOS ORDINARIOS</v>
      </c>
      <c r="J23" s="31" t="str">
        <f>+'Access-Jul'!L23</f>
        <v>3</v>
      </c>
      <c r="K23" s="50"/>
      <c r="L23" s="50"/>
      <c r="M23" s="50"/>
      <c r="N23" s="50">
        <f t="shared" si="0"/>
        <v>0</v>
      </c>
      <c r="O23" s="50"/>
      <c r="P23" s="34">
        <f>'Access-Jul'!M23</f>
        <v>12294825</v>
      </c>
      <c r="Q23" s="34"/>
      <c r="R23" s="34">
        <f t="shared" si="1"/>
        <v>12294825</v>
      </c>
      <c r="S23" s="39">
        <f>'Access-Jul'!N23</f>
        <v>9884274.6999999993</v>
      </c>
      <c r="T23" s="35">
        <f t="shared" si="2"/>
        <v>0.8039378112335881</v>
      </c>
      <c r="U23" s="34">
        <f>'Access-Jul'!O23</f>
        <v>6038946.8700000001</v>
      </c>
      <c r="V23" s="35">
        <f t="shared" si="3"/>
        <v>0.49117794437903756</v>
      </c>
      <c r="W23" s="34">
        <f>'Access-Jul'!P23</f>
        <v>6038946.8700000001</v>
      </c>
      <c r="X23" s="35">
        <f t="shared" si="4"/>
        <v>0.49117794437903756</v>
      </c>
    </row>
    <row r="24" spans="1:26" ht="25.5" customHeight="1" x14ac:dyDescent="0.2">
      <c r="A24" s="31" t="str">
        <f>+'Access-Jul'!A24</f>
        <v>12104</v>
      </c>
      <c r="B24" s="32" t="str">
        <f>+'Access-Jul'!B24</f>
        <v>TRIBUNAL REGIONAL FEDERAL DA 3A. REGIAO</v>
      </c>
      <c r="C24" s="31" t="str">
        <f>CONCATENATE('Access-Jul'!C24,".",'Access-Jul'!D24)</f>
        <v>02.331</v>
      </c>
      <c r="D24" s="31" t="str">
        <f>CONCATENATE('Access-Jul'!E24,".",'Access-Jul'!G24)</f>
        <v>0569.212B</v>
      </c>
      <c r="E24" s="32" t="str">
        <f>+'Access-Jul'!F24</f>
        <v>PRESTACAO JURISDICIONAL NA JUSTICA FEDERAL</v>
      </c>
      <c r="F24" s="32" t="str">
        <f>+'Access-Jul'!H24</f>
        <v>BENEFICIOS OBRIGATORIOS AOS SERVIDORES CIVIS, EMPREGADOS, MI</v>
      </c>
      <c r="G24" s="31" t="str">
        <f>IF('Access-Jul'!I24="1","F","S")</f>
        <v>F</v>
      </c>
      <c r="H24" s="31" t="str">
        <f>+'Access-Jul'!J24</f>
        <v>0100</v>
      </c>
      <c r="I24" s="32" t="str">
        <f>+'Access-Jul'!K24</f>
        <v>RECURSOS ORDINARIOS</v>
      </c>
      <c r="J24" s="31" t="str">
        <f>+'Access-Jul'!L24</f>
        <v>3</v>
      </c>
      <c r="K24" s="50"/>
      <c r="L24" s="50"/>
      <c r="M24" s="50"/>
      <c r="N24" s="50">
        <f t="shared" si="0"/>
        <v>0</v>
      </c>
      <c r="O24" s="50"/>
      <c r="P24" s="34">
        <f>'Access-Jul'!M24</f>
        <v>23383704.66</v>
      </c>
      <c r="Q24" s="34"/>
      <c r="R24" s="34">
        <f t="shared" si="1"/>
        <v>23383704.66</v>
      </c>
      <c r="S24" s="39">
        <f>'Access-Jul'!N24</f>
        <v>23015394.66</v>
      </c>
      <c r="T24" s="35">
        <f t="shared" si="2"/>
        <v>0.98424928789705302</v>
      </c>
      <c r="U24" s="34">
        <f>'Access-Jul'!O24</f>
        <v>13131067.060000001</v>
      </c>
      <c r="V24" s="35">
        <f t="shared" si="3"/>
        <v>0.56154776374942461</v>
      </c>
      <c r="W24" s="34">
        <f>'Access-Jul'!P24</f>
        <v>13131067.060000001</v>
      </c>
      <c r="X24" s="35">
        <f t="shared" si="4"/>
        <v>0.56154776374942461</v>
      </c>
    </row>
    <row r="25" spans="1:26" ht="25.5" customHeight="1" x14ac:dyDescent="0.2">
      <c r="A25" s="31" t="str">
        <f>+'Access-Jul'!A25</f>
        <v>12104</v>
      </c>
      <c r="B25" s="32" t="str">
        <f>+'Access-Jul'!B25</f>
        <v>TRIBUNAL REGIONAL FEDERAL DA 3A. REGIAO</v>
      </c>
      <c r="C25" s="31" t="str">
        <f>CONCATENATE('Access-Jul'!C25,".",'Access-Jul'!D25)</f>
        <v>02.846</v>
      </c>
      <c r="D25" s="31" t="str">
        <f>CONCATENATE('Access-Jul'!E25,".",'Access-Jul'!G25)</f>
        <v>0569.09HB</v>
      </c>
      <c r="E25" s="32" t="str">
        <f>+'Access-Jul'!F25</f>
        <v>PRESTACAO JURISDICIONAL NA JUSTICA FEDERAL</v>
      </c>
      <c r="F25" s="32" t="str">
        <f>+'Access-Jul'!H25</f>
        <v>CONTRIBUICAO DA UNIAO, DE SUAS AUTARQUIAS E FUNDACOES PARA O</v>
      </c>
      <c r="G25" s="31" t="str">
        <f>IF('Access-Jul'!I25="1","F","S")</f>
        <v>F</v>
      </c>
      <c r="H25" s="31" t="str">
        <f>+'Access-Jul'!J25</f>
        <v>0100</v>
      </c>
      <c r="I25" s="32" t="str">
        <f>+'Access-Jul'!K25</f>
        <v>RECURSOS ORDINARIOS</v>
      </c>
      <c r="J25" s="31" t="str">
        <f>+'Access-Jul'!L25</f>
        <v>1</v>
      </c>
      <c r="K25" s="50"/>
      <c r="L25" s="50"/>
      <c r="M25" s="50"/>
      <c r="N25" s="50">
        <f t="shared" si="0"/>
        <v>0</v>
      </c>
      <c r="O25" s="50"/>
      <c r="P25" s="34">
        <f>'Access-Jul'!M25</f>
        <v>37153706.159999996</v>
      </c>
      <c r="Q25" s="34"/>
      <c r="R25" s="34">
        <f t="shared" si="1"/>
        <v>37153706.159999996</v>
      </c>
      <c r="S25" s="39">
        <f>'Access-Jul'!N25</f>
        <v>37153706.159999996</v>
      </c>
      <c r="T25" s="35">
        <f t="shared" si="2"/>
        <v>1</v>
      </c>
      <c r="U25" s="34">
        <f>'Access-Jul'!O25</f>
        <v>37153706.159999996</v>
      </c>
      <c r="V25" s="35">
        <f t="shared" si="3"/>
        <v>1</v>
      </c>
      <c r="W25" s="34">
        <f>'Access-Jul'!P25</f>
        <v>37153706.159999996</v>
      </c>
      <c r="X25" s="35">
        <f t="shared" si="4"/>
        <v>1</v>
      </c>
    </row>
    <row r="26" spans="1:26" ht="25.5" customHeight="1" x14ac:dyDescent="0.2">
      <c r="A26" s="31" t="str">
        <f>+'Access-Jul'!A26</f>
        <v>12104</v>
      </c>
      <c r="B26" s="32" t="str">
        <f>+'Access-Jul'!B26</f>
        <v>TRIBUNAL REGIONAL FEDERAL DA 3A. REGIAO</v>
      </c>
      <c r="C26" s="31" t="str">
        <f>CONCATENATE('Access-Jul'!C26,".",'Access-Jul'!D26)</f>
        <v>09.272</v>
      </c>
      <c r="D26" s="31" t="str">
        <f>CONCATENATE('Access-Jul'!E26,".",'Access-Jul'!G26)</f>
        <v>0089.0181</v>
      </c>
      <c r="E26" s="32" t="str">
        <f>+'Access-Jul'!F26</f>
        <v>PREVIDENCIA DE INATIVOS E PENSIONISTAS DA UNIAO</v>
      </c>
      <c r="F26" s="32" t="str">
        <f>+'Access-Jul'!H26</f>
        <v>APOSENTADORIAS E PENSOES CIVIS DA UNIAO</v>
      </c>
      <c r="G26" s="31" t="str">
        <f>IF('Access-Jul'!I26="1","F","S")</f>
        <v>S</v>
      </c>
      <c r="H26" s="31" t="str">
        <f>+'Access-Jul'!J26</f>
        <v>0169</v>
      </c>
      <c r="I26" s="32" t="str">
        <f>+'Access-Jul'!K26</f>
        <v>CONTRIB.PATRONAL P/PLANO DE SEGURID.SOC.SERV.</v>
      </c>
      <c r="J26" s="31" t="str">
        <f>+'Access-Jul'!L26</f>
        <v>1</v>
      </c>
      <c r="K26" s="50"/>
      <c r="L26" s="50"/>
      <c r="M26" s="50"/>
      <c r="N26" s="50">
        <f t="shared" si="0"/>
        <v>0</v>
      </c>
      <c r="O26" s="50"/>
      <c r="P26" s="34">
        <f>'Access-Jul'!M26</f>
        <v>66186710.390000001</v>
      </c>
      <c r="Q26" s="34"/>
      <c r="R26" s="34">
        <f t="shared" si="1"/>
        <v>66186710.390000001</v>
      </c>
      <c r="S26" s="39">
        <f>'Access-Jul'!N26</f>
        <v>66186710.390000001</v>
      </c>
      <c r="T26" s="35">
        <f t="shared" si="2"/>
        <v>1</v>
      </c>
      <c r="U26" s="34">
        <f>'Access-Jul'!O26</f>
        <v>66186710.390000001</v>
      </c>
      <c r="V26" s="35">
        <f t="shared" si="3"/>
        <v>1</v>
      </c>
      <c r="W26" s="34">
        <f>'Access-Jul'!P26</f>
        <v>65651962.359999999</v>
      </c>
      <c r="X26" s="35">
        <f t="shared" si="4"/>
        <v>0.9919206132643692</v>
      </c>
    </row>
    <row r="27" spans="1:26" ht="25.5" customHeight="1" thickBot="1" x14ac:dyDescent="0.25">
      <c r="A27" s="31" t="str">
        <f>+'Access-Jul'!A27</f>
        <v>12104</v>
      </c>
      <c r="B27" s="32" t="str">
        <f>+'Access-Jul'!B27</f>
        <v>TRIBUNAL REGIONAL FEDERAL DA 3A. REGIAO</v>
      </c>
      <c r="C27" s="31" t="str">
        <f>CONCATENATE('Access-Jul'!C27,".",'Access-Jul'!D27)</f>
        <v>28.846</v>
      </c>
      <c r="D27" s="31" t="str">
        <f>CONCATENATE('Access-Jul'!E27,".",'Access-Jul'!G27)</f>
        <v>0909.0536</v>
      </c>
      <c r="E27" s="32" t="str">
        <f>+'Access-Jul'!F27</f>
        <v>OPERACOES ESPECIAIS: OUTROS ENCARGOS ESPECIAIS</v>
      </c>
      <c r="F27" s="32" t="str">
        <f>+'Access-Jul'!H27</f>
        <v>BENEFICIOS E PENSOES INDENIZATORIAS DECORRENTES DE LEGISLACA</v>
      </c>
      <c r="G27" s="31" t="str">
        <f>IF('Access-Jul'!I27="1","F","S")</f>
        <v>S</v>
      </c>
      <c r="H27" s="31" t="str">
        <f>+'Access-Jul'!J27</f>
        <v>0100</v>
      </c>
      <c r="I27" s="32" t="str">
        <f>+'Access-Jul'!K27</f>
        <v>RECURSOS ORDINARIOS</v>
      </c>
      <c r="J27" s="31" t="str">
        <f>+'Access-Jul'!L27</f>
        <v>3</v>
      </c>
      <c r="K27" s="50"/>
      <c r="L27" s="50"/>
      <c r="M27" s="50"/>
      <c r="N27" s="50">
        <f t="shared" si="0"/>
        <v>0</v>
      </c>
      <c r="O27" s="50"/>
      <c r="P27" s="34">
        <f>'Access-Jul'!M27</f>
        <v>18684</v>
      </c>
      <c r="Q27" s="34"/>
      <c r="R27" s="34">
        <f t="shared" si="1"/>
        <v>18684</v>
      </c>
      <c r="S27" s="39">
        <f>'Access-Jul'!N27</f>
        <v>18684</v>
      </c>
      <c r="T27" s="35">
        <f t="shared" si="2"/>
        <v>1</v>
      </c>
      <c r="U27" s="34">
        <f>'Access-Jul'!O27</f>
        <v>10354.44</v>
      </c>
      <c r="V27" s="35">
        <f t="shared" si="3"/>
        <v>0.55418754014129734</v>
      </c>
      <c r="W27" s="34">
        <f>'Access-Jul'!P27</f>
        <v>10354.44</v>
      </c>
      <c r="X27" s="35">
        <f t="shared" si="4"/>
        <v>0.55418754014129734</v>
      </c>
    </row>
    <row r="28" spans="1:26" ht="25.5" customHeight="1" thickBot="1" x14ac:dyDescent="0.25">
      <c r="A28" s="86" t="s">
        <v>113</v>
      </c>
      <c r="B28" s="87"/>
      <c r="C28" s="87"/>
      <c r="D28" s="87"/>
      <c r="E28" s="87"/>
      <c r="F28" s="87"/>
      <c r="G28" s="87"/>
      <c r="H28" s="87"/>
      <c r="I28" s="87"/>
      <c r="J28" s="88"/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52">
        <f>SUM(P10:P27)</f>
        <v>453124567.55000007</v>
      </c>
      <c r="Q28" s="52">
        <f>SUM(Q10:Q27)</f>
        <v>0</v>
      </c>
      <c r="R28" s="52">
        <f>SUM(R10:R27)</f>
        <v>453124567.55000007</v>
      </c>
      <c r="S28" s="52">
        <f>SUM(S10:S27)</f>
        <v>414276843.57000005</v>
      </c>
      <c r="T28" s="43">
        <f t="shared" si="2"/>
        <v>0.91426701008500633</v>
      </c>
      <c r="U28" s="52">
        <f>SUM(U10:U27)</f>
        <v>374661737.82999998</v>
      </c>
      <c r="V28" s="43">
        <f t="shared" si="3"/>
        <v>0.82684048639375063</v>
      </c>
      <c r="W28" s="52">
        <f>SUM(W10:W27)</f>
        <v>370778135.60000002</v>
      </c>
      <c r="X28" s="43">
        <f t="shared" si="4"/>
        <v>0.81826976984444011</v>
      </c>
    </row>
    <row r="29" spans="1:26" ht="25.5" customHeight="1" x14ac:dyDescent="0.2">
      <c r="A29" s="7" t="s">
        <v>114</v>
      </c>
      <c r="B29" s="7"/>
      <c r="C29" s="7"/>
      <c r="D29" s="7"/>
      <c r="E29" s="7"/>
      <c r="F29" s="7"/>
      <c r="G29" s="7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45"/>
      <c r="V29" s="7"/>
      <c r="W29" s="45"/>
      <c r="X29" s="7"/>
    </row>
    <row r="30" spans="1:26" ht="25.5" customHeight="1" x14ac:dyDescent="0.2">
      <c r="A30" s="7" t="s">
        <v>115</v>
      </c>
      <c r="B30" s="53"/>
      <c r="C30" s="7"/>
      <c r="D30" s="7"/>
      <c r="E30" s="7"/>
      <c r="F30" s="7"/>
      <c r="G30" s="7"/>
      <c r="H30" s="8"/>
      <c r="I30" s="8"/>
      <c r="J30" s="8"/>
      <c r="K30" s="7"/>
      <c r="L30" s="7"/>
      <c r="M30" s="7"/>
      <c r="N30" s="7"/>
      <c r="O30" s="7"/>
      <c r="P30" s="1"/>
      <c r="Q30" s="82"/>
      <c r="R30" s="82"/>
      <c r="S30" s="54"/>
      <c r="T30" s="54"/>
      <c r="U30" s="54"/>
      <c r="V30" s="54"/>
      <c r="W30" s="54"/>
      <c r="X30" s="54"/>
      <c r="Y30" s="54"/>
      <c r="Z30" s="54"/>
    </row>
    <row r="31" spans="1:26" ht="25.5" customHeight="1" x14ac:dyDescent="0.2">
      <c r="P31" s="1"/>
      <c r="Q31" s="82"/>
      <c r="R31" s="82"/>
      <c r="S31" s="37"/>
      <c r="T31" s="37"/>
      <c r="U31" s="37"/>
      <c r="V31" s="37"/>
      <c r="W31" s="37"/>
      <c r="X31" s="37"/>
      <c r="Y31" s="37"/>
      <c r="Z31" s="37"/>
    </row>
    <row r="32" spans="1:26" ht="25.5" customHeight="1" x14ac:dyDescent="0.2">
      <c r="P32" s="4"/>
      <c r="Q32" s="82"/>
      <c r="R32" s="82"/>
      <c r="S32" s="37"/>
      <c r="T32" s="37"/>
      <c r="U32" s="37"/>
      <c r="V32" s="37"/>
      <c r="W32" s="37"/>
      <c r="X32" s="37"/>
      <c r="Y32" s="37"/>
      <c r="Z32" s="37"/>
    </row>
    <row r="33" spans="16:26" ht="25.5" customHeight="1" x14ac:dyDescent="0.2">
      <c r="P33" s="4"/>
      <c r="R33" s="1"/>
      <c r="S33" s="67"/>
      <c r="T33" s="1"/>
      <c r="U33" s="3"/>
      <c r="V33" s="1"/>
      <c r="W33" s="3"/>
      <c r="X33" s="67"/>
      <c r="Z33" s="67"/>
    </row>
    <row r="34" spans="16:26" ht="25.5" customHeight="1" x14ac:dyDescent="0.2">
      <c r="P34" s="4"/>
      <c r="R34" s="1"/>
      <c r="S34" s="37"/>
      <c r="T34" s="1"/>
      <c r="U34" s="37"/>
      <c r="V34" s="37"/>
      <c r="W34" s="3"/>
      <c r="X34" s="37"/>
      <c r="Z34" s="37"/>
    </row>
    <row r="35" spans="16:26" ht="25.5" customHeight="1" x14ac:dyDescent="0.2">
      <c r="P35" s="4"/>
      <c r="Q35" s="82"/>
      <c r="R35" s="1"/>
      <c r="S35" s="72"/>
      <c r="T35" s="71"/>
      <c r="U35" s="72"/>
      <c r="V35" s="72"/>
      <c r="W35" s="72"/>
      <c r="X35" s="72"/>
      <c r="Y35" s="72"/>
      <c r="Z35" s="72"/>
    </row>
    <row r="36" spans="16:26" ht="25.5" customHeight="1" x14ac:dyDescent="0.2">
      <c r="P36" s="1"/>
      <c r="R36" s="1"/>
      <c r="S36" s="3"/>
      <c r="T36" s="1"/>
      <c r="U36" s="3"/>
      <c r="V36" s="1"/>
      <c r="W36" s="3"/>
    </row>
    <row r="37" spans="16:26" ht="25.5" customHeight="1" x14ac:dyDescent="0.2">
      <c r="P37" s="4"/>
      <c r="R37" s="1"/>
      <c r="S37" s="3"/>
      <c r="T37" s="1"/>
      <c r="U37" s="3"/>
      <c r="V37" s="1"/>
      <c r="W37" s="3"/>
    </row>
  </sheetData>
  <mergeCells count="17">
    <mergeCell ref="A28:J28"/>
    <mergeCell ref="N7:N8"/>
    <mergeCell ref="O7:O8"/>
    <mergeCell ref="P7:Q7"/>
    <mergeCell ref="R7:R8"/>
    <mergeCell ref="A5:X5"/>
    <mergeCell ref="A7:J7"/>
    <mergeCell ref="K7:K8"/>
    <mergeCell ref="L7:M7"/>
    <mergeCell ref="H8:I8"/>
    <mergeCell ref="J8:J9"/>
    <mergeCell ref="S7:X7"/>
    <mergeCell ref="A8:B8"/>
    <mergeCell ref="C8:C9"/>
    <mergeCell ref="D8:D9"/>
    <mergeCell ref="E8:F8"/>
    <mergeCell ref="G8:G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showGridLines="0" view="pageBreakPreview" topLeftCell="C16" zoomScale="65" zoomScaleNormal="75" zoomScaleSheetLayoutView="65" workbookViewId="0">
      <selection activeCell="A33" sqref="A33:XFD33"/>
    </sheetView>
  </sheetViews>
  <sheetFormatPr defaultRowHeight="25.5" customHeight="1" x14ac:dyDescent="0.2"/>
  <cols>
    <col min="1" max="1" width="16.2851562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7.140625" style="1" customWidth="1"/>
    <col min="20" max="20" width="9.28515625" style="3" bestFit="1" customWidth="1"/>
    <col min="21" max="21" width="16.2851562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42948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10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+'Access-Ago'!A10</f>
        <v>12104</v>
      </c>
      <c r="B10" s="25" t="str">
        <f>+'Access-Ago'!B10</f>
        <v>TRIBUNAL REGIONAL FEDERAL DA 3A. REGIAO</v>
      </c>
      <c r="C10" s="26" t="str">
        <f>CONCATENATE('Access-Ago'!C10,".",'Access-Ago'!D10)</f>
        <v>02.061</v>
      </c>
      <c r="D10" s="26" t="str">
        <f>CONCATENATE('Access-Ago'!E10,".",'Access-Ago'!G10)</f>
        <v>0569.4224</v>
      </c>
      <c r="E10" s="25" t="str">
        <f>+'Access-Ago'!F10</f>
        <v>PRESTACAO JURISDICIONAL NA JUSTICA FEDERAL</v>
      </c>
      <c r="F10" s="27" t="str">
        <f>+'Access-Ago'!H10</f>
        <v>ASSISTENCIA JURIDICA A PESSOAS CARENTES</v>
      </c>
      <c r="G10" s="24" t="str">
        <f>IF('Access-Ago'!I10="1","F","S")</f>
        <v>F</v>
      </c>
      <c r="H10" s="24" t="str">
        <f>+'Access-Ago'!J10</f>
        <v>0100</v>
      </c>
      <c r="I10" s="28" t="str">
        <f>+'Access-Ago'!K10</f>
        <v>RECURSOS ORDINARIOS</v>
      </c>
      <c r="J10" s="24" t="str">
        <f>+'Access-Ago'!L10</f>
        <v>3</v>
      </c>
      <c r="K10" s="47"/>
      <c r="L10" s="48"/>
      <c r="M10" s="48"/>
      <c r="N10" s="49">
        <f>+K10+L10-M10</f>
        <v>0</v>
      </c>
      <c r="O10" s="47"/>
      <c r="P10" s="29">
        <f>'Access-Ago'!M10</f>
        <v>15000</v>
      </c>
      <c r="Q10" s="29"/>
      <c r="R10" s="29">
        <f>N10-O10+P10</f>
        <v>15000</v>
      </c>
      <c r="S10" s="29">
        <f>'Access-Ago'!N10</f>
        <v>15000</v>
      </c>
      <c r="T10" s="44">
        <f>IF(R10&gt;0,S10/R10,0)</f>
        <v>1</v>
      </c>
      <c r="U10" s="29">
        <f>'Access-Ago'!O10</f>
        <v>1302.73</v>
      </c>
      <c r="V10" s="30">
        <f>IF(R10&gt;0,U10/R10,0)</f>
        <v>8.6848666666666671E-2</v>
      </c>
      <c r="W10" s="29">
        <f>'Access-Ago'!P10</f>
        <v>1302.73</v>
      </c>
      <c r="X10" s="30">
        <f>IF(R10&gt;0,W10/R10,0)</f>
        <v>8.6848666666666671E-2</v>
      </c>
    </row>
    <row r="11" spans="1:24" ht="25.5" customHeight="1" x14ac:dyDescent="0.2">
      <c r="A11" s="31" t="str">
        <f>+'Access-Ago'!A11</f>
        <v>12104</v>
      </c>
      <c r="B11" s="32" t="str">
        <f>+'Access-Ago'!B11</f>
        <v>TRIBUNAL REGIONAL FEDERAL DA 3A. REGIAO</v>
      </c>
      <c r="C11" s="31" t="str">
        <f>CONCATENATE('Access-Ago'!C11,".",'Access-Ago'!D11)</f>
        <v>02.061</v>
      </c>
      <c r="D11" s="31" t="str">
        <f>CONCATENATE('Access-Ago'!E11,".",'Access-Ago'!G11)</f>
        <v>0569.4257</v>
      </c>
      <c r="E11" s="32" t="str">
        <f>+'Access-Ago'!F11</f>
        <v>PRESTACAO JURISDICIONAL NA JUSTICA FEDERAL</v>
      </c>
      <c r="F11" s="33" t="str">
        <f>+'Access-Ago'!H11</f>
        <v>JULGAMENTO DE CAUSAS NA JUSTICA FEDERAL</v>
      </c>
      <c r="G11" s="31" t="str">
        <f>IF('Access-Ago'!I11="1","F","S")</f>
        <v>F</v>
      </c>
      <c r="H11" s="31" t="str">
        <f>+'Access-Ago'!J11</f>
        <v>0100</v>
      </c>
      <c r="I11" s="32" t="str">
        <f>+'Access-Ago'!K11</f>
        <v>RECURSOS ORDINARIOS</v>
      </c>
      <c r="J11" s="31" t="str">
        <f>+'Access-Ago'!L11</f>
        <v>4</v>
      </c>
      <c r="K11" s="50"/>
      <c r="L11" s="50"/>
      <c r="M11" s="50"/>
      <c r="N11" s="51">
        <f t="shared" ref="N11:N32" si="0">+K11+L11-M11</f>
        <v>0</v>
      </c>
      <c r="O11" s="50"/>
      <c r="P11" s="34">
        <f>'Access-Ago'!M11</f>
        <v>3111880</v>
      </c>
      <c r="Q11" s="34"/>
      <c r="R11" s="34">
        <f t="shared" ref="R11:R32" si="1">N11-O11+P11</f>
        <v>3111880</v>
      </c>
      <c r="S11" s="34">
        <f>'Access-Ago'!N11</f>
        <v>229717.83</v>
      </c>
      <c r="T11" s="35">
        <f t="shared" ref="T11:T35" si="2">IF(R11&gt;0,S11/R11,0)</f>
        <v>7.3819629934316233E-2</v>
      </c>
      <c r="U11" s="34">
        <f>'Access-Ago'!O11</f>
        <v>60915.51</v>
      </c>
      <c r="V11" s="35">
        <f t="shared" ref="V11:V35" si="3">IF(R11&gt;0,U11/R11,0)</f>
        <v>1.9575147499260898E-2</v>
      </c>
      <c r="W11" s="34">
        <f>'Access-Ago'!P11</f>
        <v>60915.51</v>
      </c>
      <c r="X11" s="35">
        <f t="shared" ref="X11:X35" si="4">IF(R11&gt;0,W11/R11,0)</f>
        <v>1.9575147499260898E-2</v>
      </c>
    </row>
    <row r="12" spans="1:24" ht="25.5" customHeight="1" x14ac:dyDescent="0.2">
      <c r="A12" s="31" t="str">
        <f>+'Access-Ago'!A12</f>
        <v>12104</v>
      </c>
      <c r="B12" s="32" t="str">
        <f>+'Access-Ago'!B12</f>
        <v>TRIBUNAL REGIONAL FEDERAL DA 3A. REGIAO</v>
      </c>
      <c r="C12" s="31" t="str">
        <f>CONCATENATE('Access-Ago'!C12,".",'Access-Ago'!D12)</f>
        <v>02.061</v>
      </c>
      <c r="D12" s="31" t="str">
        <f>CONCATENATE('Access-Ago'!E12,".",'Access-Ago'!G12)</f>
        <v>0569.4257</v>
      </c>
      <c r="E12" s="32" t="str">
        <f>+'Access-Ago'!F12</f>
        <v>PRESTACAO JURISDICIONAL NA JUSTICA FEDERAL</v>
      </c>
      <c r="F12" s="32" t="str">
        <f>+'Access-Ago'!H12</f>
        <v>JULGAMENTO DE CAUSAS NA JUSTICA FEDERAL</v>
      </c>
      <c r="G12" s="31" t="str">
        <f>IF('Access-Ago'!I12="1","F","S")</f>
        <v>F</v>
      </c>
      <c r="H12" s="31" t="str">
        <f>+'Access-Ago'!J12</f>
        <v>0100</v>
      </c>
      <c r="I12" s="32" t="str">
        <f>+'Access-Ago'!K12</f>
        <v>RECURSOS ORDINARIOS</v>
      </c>
      <c r="J12" s="31" t="str">
        <f>+'Access-Ago'!L12</f>
        <v>3</v>
      </c>
      <c r="K12" s="34"/>
      <c r="L12" s="34"/>
      <c r="M12" s="34"/>
      <c r="N12" s="50">
        <f t="shared" si="0"/>
        <v>0</v>
      </c>
      <c r="O12" s="34"/>
      <c r="P12" s="34">
        <f>'Access-Ago'!M12</f>
        <v>48017851</v>
      </c>
      <c r="Q12" s="34"/>
      <c r="R12" s="34">
        <f t="shared" si="1"/>
        <v>48017851</v>
      </c>
      <c r="S12" s="39">
        <f>'Access-Ago'!N12</f>
        <v>41691411.090000004</v>
      </c>
      <c r="T12" s="35">
        <f t="shared" si="2"/>
        <v>0.86824816649957959</v>
      </c>
      <c r="U12" s="34">
        <f>'Access-Ago'!O12</f>
        <v>21290111.699999999</v>
      </c>
      <c r="V12" s="35">
        <f t="shared" si="3"/>
        <v>0.44337910290904103</v>
      </c>
      <c r="W12" s="34">
        <f>'Access-Ago'!P12</f>
        <v>20043921.07</v>
      </c>
      <c r="X12" s="35">
        <f t="shared" si="4"/>
        <v>0.41742644980092924</v>
      </c>
    </row>
    <row r="13" spans="1:24" ht="25.5" customHeight="1" x14ac:dyDescent="0.2">
      <c r="A13" s="31" t="str">
        <f>+'Access-Ago'!A13</f>
        <v>12104</v>
      </c>
      <c r="B13" s="32" t="str">
        <f>+'Access-Ago'!B13</f>
        <v>TRIBUNAL REGIONAL FEDERAL DA 3A. REGIAO</v>
      </c>
      <c r="C13" s="31" t="str">
        <f>CONCATENATE('Access-Ago'!C13,".",'Access-Ago'!D13)</f>
        <v>02.061</v>
      </c>
      <c r="D13" s="31" t="str">
        <f>CONCATENATE('Access-Ago'!E13,".",'Access-Ago'!G13)</f>
        <v>0569.4257</v>
      </c>
      <c r="E13" s="32" t="str">
        <f>+'Access-Ago'!F13</f>
        <v>PRESTACAO JURISDICIONAL NA JUSTICA FEDERAL</v>
      </c>
      <c r="F13" s="32" t="str">
        <f>+'Access-Ago'!H13</f>
        <v>JULGAMENTO DE CAUSAS NA JUSTICA FEDERAL</v>
      </c>
      <c r="G13" s="31" t="str">
        <f>IF('Access-Ago'!I13="1","F","S")</f>
        <v>F</v>
      </c>
      <c r="H13" s="31" t="str">
        <f>+'Access-Ago'!J13</f>
        <v>0127</v>
      </c>
      <c r="I13" s="32" t="str">
        <f>+'Access-Ago'!K13</f>
        <v>CUSTAS E EMOLUMENTOS - PODER JUDICIARIO</v>
      </c>
      <c r="J13" s="31" t="str">
        <f>+'Access-Ago'!L13</f>
        <v>3</v>
      </c>
      <c r="K13" s="34"/>
      <c r="L13" s="34"/>
      <c r="M13" s="34"/>
      <c r="N13" s="50">
        <f t="shared" si="0"/>
        <v>0</v>
      </c>
      <c r="O13" s="34"/>
      <c r="P13" s="34">
        <f>'Access-Ago'!M13</f>
        <v>6790890</v>
      </c>
      <c r="Q13" s="34"/>
      <c r="R13" s="34">
        <f t="shared" si="1"/>
        <v>6790890</v>
      </c>
      <c r="S13" s="39">
        <f>'Access-Ago'!N13</f>
        <v>6790890</v>
      </c>
      <c r="T13" s="35">
        <f t="shared" si="2"/>
        <v>1</v>
      </c>
      <c r="U13" s="34">
        <f>'Access-Ago'!O13</f>
        <v>4550575.07</v>
      </c>
      <c r="V13" s="35">
        <f t="shared" si="3"/>
        <v>0.67009995302530301</v>
      </c>
      <c r="W13" s="34">
        <f>'Access-Ago'!P13</f>
        <v>4321531.5</v>
      </c>
      <c r="X13" s="35">
        <f t="shared" si="4"/>
        <v>0.63637188939888589</v>
      </c>
    </row>
    <row r="14" spans="1:24" ht="25.5" customHeight="1" x14ac:dyDescent="0.2">
      <c r="A14" s="31" t="str">
        <f>+'Access-Ago'!A14</f>
        <v>12104</v>
      </c>
      <c r="B14" s="32" t="str">
        <f>+'Access-Ago'!B14</f>
        <v>TRIBUNAL REGIONAL FEDERAL DA 3A. REGIAO</v>
      </c>
      <c r="C14" s="31" t="str">
        <f>CONCATENATE('Access-Ago'!C14,".",'Access-Ago'!D14)</f>
        <v>02.061</v>
      </c>
      <c r="D14" s="31" t="str">
        <f>CONCATENATE('Access-Ago'!E14,".",'Access-Ago'!G14)</f>
        <v>0569.4257</v>
      </c>
      <c r="E14" s="32" t="str">
        <f>+'Access-Ago'!F14</f>
        <v>PRESTACAO JURISDICIONAL NA JUSTICA FEDERAL</v>
      </c>
      <c r="F14" s="32" t="str">
        <f>+'Access-Ago'!H14</f>
        <v>JULGAMENTO DE CAUSAS NA JUSTICA FEDERAL</v>
      </c>
      <c r="G14" s="31" t="str">
        <f>IF('Access-Ago'!I14="1","F","S")</f>
        <v>F</v>
      </c>
      <c r="H14" s="31" t="str">
        <f>+'Access-Ago'!J14</f>
        <v>0150</v>
      </c>
      <c r="I14" s="32" t="str">
        <f>+'Access-Ago'!K14</f>
        <v>RECURSOS NAO-FINANCEIROS DIRETAM. ARRECADADOS</v>
      </c>
      <c r="J14" s="31" t="str">
        <f>+'Access-Ago'!L14</f>
        <v>3</v>
      </c>
      <c r="K14" s="34"/>
      <c r="L14" s="34"/>
      <c r="M14" s="34"/>
      <c r="N14" s="50">
        <f t="shared" si="0"/>
        <v>0</v>
      </c>
      <c r="O14" s="34"/>
      <c r="P14" s="34">
        <f>'Access-Ago'!M14</f>
        <v>800000</v>
      </c>
      <c r="Q14" s="34"/>
      <c r="R14" s="34">
        <f t="shared" si="1"/>
        <v>800000</v>
      </c>
      <c r="S14" s="39">
        <f>'Access-Ago'!N14</f>
        <v>0</v>
      </c>
      <c r="T14" s="35">
        <f t="shared" si="2"/>
        <v>0</v>
      </c>
      <c r="U14" s="34">
        <f>'Access-Ago'!O14</f>
        <v>0</v>
      </c>
      <c r="V14" s="35">
        <f t="shared" si="3"/>
        <v>0</v>
      </c>
      <c r="W14" s="34">
        <f>'Access-Ago'!P14</f>
        <v>0</v>
      </c>
      <c r="X14" s="35">
        <f t="shared" si="4"/>
        <v>0</v>
      </c>
    </row>
    <row r="15" spans="1:24" ht="25.5" customHeight="1" x14ac:dyDescent="0.2">
      <c r="A15" s="31" t="str">
        <f>+'Access-Ago'!A15</f>
        <v>12104</v>
      </c>
      <c r="B15" s="32" t="str">
        <f>+'Access-Ago'!B15</f>
        <v>TRIBUNAL REGIONAL FEDERAL DA 3A. REGIAO</v>
      </c>
      <c r="C15" s="31" t="str">
        <f>CONCATENATE('Access-Ago'!C15,".",'Access-Ago'!D15)</f>
        <v>02.061</v>
      </c>
      <c r="D15" s="31" t="str">
        <f>CONCATENATE('Access-Ago'!E15,".",'Access-Ago'!G15)</f>
        <v>0569.4257</v>
      </c>
      <c r="E15" s="32" t="str">
        <f>+'Access-Ago'!F15</f>
        <v>PRESTACAO JURISDICIONAL NA JUSTICA FEDERAL</v>
      </c>
      <c r="F15" s="32" t="str">
        <f>+'Access-Ago'!H15</f>
        <v>JULGAMENTO DE CAUSAS NA JUSTICA FEDERAL</v>
      </c>
      <c r="G15" s="31" t="str">
        <f>IF('Access-Ago'!I15="1","F","S")</f>
        <v>F</v>
      </c>
      <c r="H15" s="31" t="str">
        <f>+'Access-Ago'!J15</f>
        <v>0181</v>
      </c>
      <c r="I15" s="32" t="str">
        <f>+'Access-Ago'!K15</f>
        <v>RECURSOS DE CONVENIOS</v>
      </c>
      <c r="J15" s="31" t="str">
        <f>+'Access-Ago'!L15</f>
        <v>4</v>
      </c>
      <c r="K15" s="50"/>
      <c r="L15" s="50"/>
      <c r="M15" s="50"/>
      <c r="N15" s="50">
        <f t="shared" si="0"/>
        <v>0</v>
      </c>
      <c r="O15" s="50"/>
      <c r="P15" s="34">
        <f>'Access-Ago'!M15</f>
        <v>4951378</v>
      </c>
      <c r="Q15" s="34"/>
      <c r="R15" s="34">
        <f t="shared" si="1"/>
        <v>4951378</v>
      </c>
      <c r="S15" s="39">
        <f>'Access-Ago'!N15</f>
        <v>0</v>
      </c>
      <c r="T15" s="35">
        <f t="shared" si="2"/>
        <v>0</v>
      </c>
      <c r="U15" s="34">
        <f>'Access-Ago'!O15</f>
        <v>0</v>
      </c>
      <c r="V15" s="35">
        <f t="shared" si="3"/>
        <v>0</v>
      </c>
      <c r="W15" s="34">
        <f>'Access-Ago'!P15</f>
        <v>0</v>
      </c>
      <c r="X15" s="35">
        <f t="shared" si="4"/>
        <v>0</v>
      </c>
    </row>
    <row r="16" spans="1:24" ht="25.5" customHeight="1" x14ac:dyDescent="0.2">
      <c r="A16" s="31" t="str">
        <f>+'Access-Ago'!A16</f>
        <v>12104</v>
      </c>
      <c r="B16" s="32" t="str">
        <f>+'Access-Ago'!B16</f>
        <v>TRIBUNAL REGIONAL FEDERAL DA 3A. REGIAO</v>
      </c>
      <c r="C16" s="31" t="str">
        <f>CONCATENATE('Access-Ago'!C16,".",'Access-Ago'!D16)</f>
        <v>02.061</v>
      </c>
      <c r="D16" s="31" t="str">
        <f>CONCATENATE('Access-Ago'!E16,".",'Access-Ago'!G16)</f>
        <v>0569.4257</v>
      </c>
      <c r="E16" s="32" t="str">
        <f>+'Access-Ago'!F16</f>
        <v>PRESTACAO JURISDICIONAL NA JUSTICA FEDERAL</v>
      </c>
      <c r="F16" s="32" t="str">
        <f>+'Access-Ago'!H16</f>
        <v>JULGAMENTO DE CAUSAS NA JUSTICA FEDERAL</v>
      </c>
      <c r="G16" s="31" t="str">
        <f>IF('Access-Ago'!I16="1","F","S")</f>
        <v>F</v>
      </c>
      <c r="H16" s="31" t="str">
        <f>+'Access-Ago'!J16</f>
        <v>0181</v>
      </c>
      <c r="I16" s="32" t="str">
        <f>+'Access-Ago'!K16</f>
        <v>RECURSOS DE CONVENIOS</v>
      </c>
      <c r="J16" s="31" t="str">
        <f>+'Access-Ago'!L16</f>
        <v>3</v>
      </c>
      <c r="K16" s="34"/>
      <c r="L16" s="34"/>
      <c r="M16" s="34"/>
      <c r="N16" s="50">
        <f t="shared" si="0"/>
        <v>0</v>
      </c>
      <c r="O16" s="34"/>
      <c r="P16" s="34">
        <f>'Access-Ago'!M16</f>
        <v>175000</v>
      </c>
      <c r="Q16" s="34"/>
      <c r="R16" s="34">
        <f t="shared" si="1"/>
        <v>175000</v>
      </c>
      <c r="S16" s="39">
        <f>'Access-Ago'!N16</f>
        <v>0</v>
      </c>
      <c r="T16" s="35">
        <f t="shared" si="2"/>
        <v>0</v>
      </c>
      <c r="U16" s="34">
        <f>'Access-Ago'!O16</f>
        <v>0</v>
      </c>
      <c r="V16" s="35">
        <f t="shared" si="3"/>
        <v>0</v>
      </c>
      <c r="W16" s="34">
        <f>'Access-Ago'!P16</f>
        <v>0</v>
      </c>
      <c r="X16" s="35">
        <f t="shared" si="4"/>
        <v>0</v>
      </c>
    </row>
    <row r="17" spans="1:24" ht="25.5" customHeight="1" x14ac:dyDescent="0.2">
      <c r="A17" s="31" t="str">
        <f>+'Access-Ago'!A17</f>
        <v>12104</v>
      </c>
      <c r="B17" s="32" t="str">
        <f>+'Access-Ago'!B17</f>
        <v>TRIBUNAL REGIONAL FEDERAL DA 3A. REGIAO</v>
      </c>
      <c r="C17" s="31" t="str">
        <f>CONCATENATE('Access-Ago'!C17,".",'Access-Ago'!D17)</f>
        <v>02.122</v>
      </c>
      <c r="D17" s="31" t="str">
        <f>CONCATENATE('Access-Ago'!E17,".",'Access-Ago'!G17)</f>
        <v>0569.12SU</v>
      </c>
      <c r="E17" s="32" t="str">
        <f>+'Access-Ago'!F17</f>
        <v>PRESTACAO JURISDICIONAL NA JUSTICA FEDERAL</v>
      </c>
      <c r="F17" s="32" t="str">
        <f>+'Access-Ago'!H17</f>
        <v>AQUISICAO DE EDIFICIO-ANEXO AO TRF 3. REGIAO EM SAO PAULO -</v>
      </c>
      <c r="G17" s="31" t="str">
        <f>IF('Access-Ago'!I17="1","F","S")</f>
        <v>F</v>
      </c>
      <c r="H17" s="31" t="str">
        <f>+'Access-Ago'!J17</f>
        <v>0100</v>
      </c>
      <c r="I17" s="32" t="str">
        <f>+'Access-Ago'!K17</f>
        <v>RECURSOS ORDINARIOS</v>
      </c>
      <c r="J17" s="31" t="str">
        <f>+'Access-Ago'!L17</f>
        <v>5</v>
      </c>
      <c r="K17" s="34"/>
      <c r="L17" s="34"/>
      <c r="M17" s="34"/>
      <c r="N17" s="50">
        <f t="shared" si="0"/>
        <v>0</v>
      </c>
      <c r="O17" s="34"/>
      <c r="P17" s="34">
        <f>'Access-Ago'!M17</f>
        <v>0</v>
      </c>
      <c r="Q17" s="34"/>
      <c r="R17" s="34">
        <f t="shared" si="1"/>
        <v>0</v>
      </c>
      <c r="S17" s="39">
        <f>'Access-Ago'!N17</f>
        <v>0</v>
      </c>
      <c r="T17" s="35">
        <f t="shared" si="2"/>
        <v>0</v>
      </c>
      <c r="U17" s="34">
        <f>'Access-Ago'!O17</f>
        <v>0</v>
      </c>
      <c r="V17" s="35">
        <f t="shared" si="3"/>
        <v>0</v>
      </c>
      <c r="W17" s="34">
        <f>'Access-Ago'!P17</f>
        <v>0</v>
      </c>
      <c r="X17" s="35">
        <f t="shared" si="4"/>
        <v>0</v>
      </c>
    </row>
    <row r="18" spans="1:24" ht="25.5" customHeight="1" x14ac:dyDescent="0.2">
      <c r="A18" s="31" t="str">
        <f>+'Access-Ago'!A18</f>
        <v>12104</v>
      </c>
      <c r="B18" s="32" t="str">
        <f>+'Access-Ago'!B18</f>
        <v>TRIBUNAL REGIONAL FEDERAL DA 3A. REGIAO</v>
      </c>
      <c r="C18" s="31" t="str">
        <f>CONCATENATE('Access-Ago'!C18,".",'Access-Ago'!D18)</f>
        <v>02.122</v>
      </c>
      <c r="D18" s="31" t="str">
        <f>CONCATENATE('Access-Ago'!E18,".",'Access-Ago'!G18)</f>
        <v>0569.12SU</v>
      </c>
      <c r="E18" s="32" t="str">
        <f>+'Access-Ago'!F18</f>
        <v>PRESTACAO JURISDICIONAL NA JUSTICA FEDERAL</v>
      </c>
      <c r="F18" s="32" t="str">
        <f>+'Access-Ago'!H18</f>
        <v>AQUISICAO DE EDIFICIO-ANEXO AO TRF 3. REGIAO EM SAO PAULO -</v>
      </c>
      <c r="G18" s="31" t="str">
        <f>IF('Access-Ago'!I18="1","F","S")</f>
        <v>F</v>
      </c>
      <c r="H18" s="31" t="str">
        <f>+'Access-Ago'!J18</f>
        <v>0188</v>
      </c>
      <c r="I18" s="32" t="str">
        <f>+'Access-Ago'!K18</f>
        <v>REMUNERACAO DAS DISPONIB. DO TESOURO NACIONAL</v>
      </c>
      <c r="J18" s="31" t="str">
        <f>+'Access-Ago'!L18</f>
        <v>5</v>
      </c>
      <c r="K18" s="50"/>
      <c r="L18" s="50"/>
      <c r="M18" s="50"/>
      <c r="N18" s="50">
        <f t="shared" si="0"/>
        <v>0</v>
      </c>
      <c r="O18" s="50"/>
      <c r="P18" s="34">
        <f>'Access-Ago'!M18</f>
        <v>0</v>
      </c>
      <c r="Q18" s="34"/>
      <c r="R18" s="34">
        <f t="shared" si="1"/>
        <v>0</v>
      </c>
      <c r="S18" s="39">
        <f>'Access-Ago'!N18</f>
        <v>0</v>
      </c>
      <c r="T18" s="35">
        <f t="shared" si="2"/>
        <v>0</v>
      </c>
      <c r="U18" s="34">
        <f>'Access-Ago'!O18</f>
        <v>0</v>
      </c>
      <c r="V18" s="35">
        <f t="shared" si="3"/>
        <v>0</v>
      </c>
      <c r="W18" s="34">
        <f>'Access-Ago'!P18</f>
        <v>0</v>
      </c>
      <c r="X18" s="35">
        <f t="shared" si="4"/>
        <v>0</v>
      </c>
    </row>
    <row r="19" spans="1:24" ht="25.5" customHeight="1" x14ac:dyDescent="0.2">
      <c r="A19" s="31" t="str">
        <f>+'Access-Ago'!A19</f>
        <v>12104</v>
      </c>
      <c r="B19" s="32" t="str">
        <f>+'Access-Ago'!B19</f>
        <v>TRIBUNAL REGIONAL FEDERAL DA 3A. REGIAO</v>
      </c>
      <c r="C19" s="31" t="str">
        <f>CONCATENATE('Access-Ago'!C19,".",'Access-Ago'!D19)</f>
        <v>02.122</v>
      </c>
      <c r="D19" s="31" t="str">
        <f>CONCATENATE('Access-Ago'!E19,".",'Access-Ago'!G19)</f>
        <v>0569.15HG</v>
      </c>
      <c r="E19" s="32" t="str">
        <f>+'Access-Ago'!F19</f>
        <v>PRESTACAO JURISDICIONAL NA JUSTICA FEDERAL</v>
      </c>
      <c r="F19" s="32" t="str">
        <f>+'Access-Ago'!H19</f>
        <v>AQUISICAO DE IMOVEIS PARA FUNCIONAMENTO DO TRF3 DA 3. REGIAO</v>
      </c>
      <c r="G19" s="31" t="str">
        <f>IF('Access-Ago'!I19="1","F","S")</f>
        <v>F</v>
      </c>
      <c r="H19" s="31" t="str">
        <f>+'Access-Ago'!J19</f>
        <v>0100</v>
      </c>
      <c r="I19" s="32" t="str">
        <f>+'Access-Ago'!K19</f>
        <v>RECURSOS ORDINARIOS</v>
      </c>
      <c r="J19" s="31" t="str">
        <f>+'Access-Ago'!L19</f>
        <v>5</v>
      </c>
      <c r="K19" s="50"/>
      <c r="L19" s="50"/>
      <c r="M19" s="50"/>
      <c r="N19" s="50">
        <f t="shared" si="0"/>
        <v>0</v>
      </c>
      <c r="O19" s="50"/>
      <c r="P19" s="34">
        <f>'Access-Ago'!M19</f>
        <v>900000</v>
      </c>
      <c r="Q19" s="34"/>
      <c r="R19" s="34">
        <f t="shared" si="1"/>
        <v>900000</v>
      </c>
      <c r="S19" s="39">
        <f>'Access-Ago'!N19</f>
        <v>0</v>
      </c>
      <c r="T19" s="35">
        <f t="shared" si="2"/>
        <v>0</v>
      </c>
      <c r="U19" s="34">
        <f>'Access-Ago'!O19</f>
        <v>0</v>
      </c>
      <c r="V19" s="35">
        <f t="shared" si="3"/>
        <v>0</v>
      </c>
      <c r="W19" s="34">
        <f>'Access-Ago'!P19</f>
        <v>0</v>
      </c>
      <c r="X19" s="35">
        <f t="shared" si="4"/>
        <v>0</v>
      </c>
    </row>
    <row r="20" spans="1:24" ht="25.5" customHeight="1" x14ac:dyDescent="0.2">
      <c r="A20" s="31" t="str">
        <f>+'Access-Ago'!A20</f>
        <v>12104</v>
      </c>
      <c r="B20" s="32" t="str">
        <f>+'Access-Ago'!B20</f>
        <v>TRIBUNAL REGIONAL FEDERAL DA 3A. REGIAO</v>
      </c>
      <c r="C20" s="31" t="str">
        <f>CONCATENATE('Access-Ago'!C20,".",'Access-Ago'!D20)</f>
        <v>02.122</v>
      </c>
      <c r="D20" s="31" t="str">
        <f>CONCATENATE('Access-Ago'!E20,".",'Access-Ago'!G20)</f>
        <v>0569.15HG</v>
      </c>
      <c r="E20" s="32" t="str">
        <f>+'Access-Ago'!F20</f>
        <v>PRESTACAO JURISDICIONAL NA JUSTICA FEDERAL</v>
      </c>
      <c r="F20" s="32" t="str">
        <f>+'Access-Ago'!H20</f>
        <v>AQUISICAO DE IMOVEIS PARA FUNCIONAMENTO DO TRF3 DA 3. REGIAO</v>
      </c>
      <c r="G20" s="31" t="str">
        <f>IF('Access-Ago'!I20="1","F","S")</f>
        <v>F</v>
      </c>
      <c r="H20" s="31" t="str">
        <f>+'Access-Ago'!J20</f>
        <v>0181</v>
      </c>
      <c r="I20" s="32" t="str">
        <f>+'Access-Ago'!K20</f>
        <v>RECURSOS DE CONVENIOS</v>
      </c>
      <c r="J20" s="31" t="str">
        <f>+'Access-Ago'!L20</f>
        <v>5</v>
      </c>
      <c r="K20" s="50"/>
      <c r="L20" s="50"/>
      <c r="M20" s="50"/>
      <c r="N20" s="50">
        <f t="shared" si="0"/>
        <v>0</v>
      </c>
      <c r="O20" s="50"/>
      <c r="P20" s="34">
        <f>'Access-Ago'!M20</f>
        <v>9000000</v>
      </c>
      <c r="Q20" s="34"/>
      <c r="R20" s="34">
        <f t="shared" si="1"/>
        <v>9000000</v>
      </c>
      <c r="S20" s="39">
        <f>'Access-Ago'!N20</f>
        <v>0</v>
      </c>
      <c r="T20" s="35">
        <f t="shared" si="2"/>
        <v>0</v>
      </c>
      <c r="U20" s="34">
        <f>'Access-Ago'!O20</f>
        <v>0</v>
      </c>
      <c r="V20" s="35">
        <f t="shared" si="3"/>
        <v>0</v>
      </c>
      <c r="W20" s="34">
        <f>'Access-Ago'!P20</f>
        <v>0</v>
      </c>
      <c r="X20" s="35">
        <f t="shared" si="4"/>
        <v>0</v>
      </c>
    </row>
    <row r="21" spans="1:24" ht="25.5" customHeight="1" x14ac:dyDescent="0.2">
      <c r="A21" s="31" t="str">
        <f>+'Access-Ago'!A21</f>
        <v>12104</v>
      </c>
      <c r="B21" s="32" t="str">
        <f>+'Access-Ago'!B21</f>
        <v>TRIBUNAL REGIONAL FEDERAL DA 3A. REGIAO</v>
      </c>
      <c r="C21" s="31" t="str">
        <f>CONCATENATE('Access-Ago'!C21,".",'Access-Ago'!D21)</f>
        <v>02.122</v>
      </c>
      <c r="D21" s="31" t="str">
        <f>CONCATENATE('Access-Ago'!E21,".",'Access-Ago'!G21)</f>
        <v>0569.15NZ</v>
      </c>
      <c r="E21" s="32" t="str">
        <f>+'Access-Ago'!F21</f>
        <v>PRESTACAO JURISDICIONAL NA JUSTICA FEDERAL</v>
      </c>
      <c r="F21" s="32" t="str">
        <f>+'Access-Ago'!H21</f>
        <v>REFORMA DO EDIFICIO-SEDE DO TRIBUNAL REGIONAL FEDERAL DA 3.</v>
      </c>
      <c r="G21" s="31" t="str">
        <f>IF('Access-Ago'!I21="1","F","S")</f>
        <v>F</v>
      </c>
      <c r="H21" s="31" t="str">
        <f>+'Access-Ago'!J21</f>
        <v>0100</v>
      </c>
      <c r="I21" s="32" t="str">
        <f>+'Access-Ago'!K21</f>
        <v>RECURSOS ORDINARIOS</v>
      </c>
      <c r="J21" s="31" t="str">
        <f>+'Access-Ago'!L21</f>
        <v>4</v>
      </c>
      <c r="K21" s="50"/>
      <c r="L21" s="50"/>
      <c r="M21" s="50"/>
      <c r="N21" s="50">
        <f t="shared" si="0"/>
        <v>0</v>
      </c>
      <c r="O21" s="50"/>
      <c r="P21" s="34">
        <f>'Access-Ago'!M21</f>
        <v>0</v>
      </c>
      <c r="Q21" s="34"/>
      <c r="R21" s="34">
        <f t="shared" si="1"/>
        <v>0</v>
      </c>
      <c r="S21" s="39">
        <f>'Access-Ago'!N21</f>
        <v>0</v>
      </c>
      <c r="T21" s="35">
        <f t="shared" si="2"/>
        <v>0</v>
      </c>
      <c r="U21" s="34">
        <f>'Access-Ago'!O21</f>
        <v>0</v>
      </c>
      <c r="V21" s="35">
        <f t="shared" si="3"/>
        <v>0</v>
      </c>
      <c r="W21" s="34">
        <f>'Access-Ago'!P21</f>
        <v>0</v>
      </c>
      <c r="X21" s="35">
        <f t="shared" si="4"/>
        <v>0</v>
      </c>
    </row>
    <row r="22" spans="1:24" ht="25.5" customHeight="1" x14ac:dyDescent="0.2">
      <c r="A22" s="31" t="str">
        <f>+'Access-Ago'!A22</f>
        <v>12104</v>
      </c>
      <c r="B22" s="32" t="str">
        <f>+'Access-Ago'!B22</f>
        <v>TRIBUNAL REGIONAL FEDERAL DA 3A. REGIAO</v>
      </c>
      <c r="C22" s="31" t="str">
        <f>CONCATENATE('Access-Ago'!C22,".",'Access-Ago'!D22)</f>
        <v>02.122</v>
      </c>
      <c r="D22" s="31" t="str">
        <f>CONCATENATE('Access-Ago'!E22,".",'Access-Ago'!G22)</f>
        <v>0569.20TP</v>
      </c>
      <c r="E22" s="32" t="str">
        <f>+'Access-Ago'!F22</f>
        <v>PRESTACAO JURISDICIONAL NA JUSTICA FEDERAL</v>
      </c>
      <c r="F22" s="32" t="str">
        <f>+'Access-Ago'!H22</f>
        <v>PESSOAL ATIVO DA UNIAO</v>
      </c>
      <c r="G22" s="31" t="str">
        <f>IF('Access-Ago'!I22="1","F","S")</f>
        <v>F</v>
      </c>
      <c r="H22" s="31" t="str">
        <f>+'Access-Ago'!J22</f>
        <v>0100</v>
      </c>
      <c r="I22" s="32" t="str">
        <f>+'Access-Ago'!K22</f>
        <v>RECURSOS ORDINARIOS</v>
      </c>
      <c r="J22" s="31" t="str">
        <f>+'Access-Ago'!L22</f>
        <v>1</v>
      </c>
      <c r="K22" s="50"/>
      <c r="L22" s="50"/>
      <c r="M22" s="50"/>
      <c r="N22" s="50">
        <f t="shared" si="0"/>
        <v>0</v>
      </c>
      <c r="O22" s="50"/>
      <c r="P22" s="34">
        <f>'Access-Ago'!M22</f>
        <v>246033342.65000001</v>
      </c>
      <c r="Q22" s="34"/>
      <c r="R22" s="34">
        <f t="shared" si="1"/>
        <v>246033342.65000001</v>
      </c>
      <c r="S22" s="39">
        <f>'Access-Ago'!N22</f>
        <v>243718358.78999999</v>
      </c>
      <c r="T22" s="35">
        <f t="shared" si="2"/>
        <v>0.99059077182358468</v>
      </c>
      <c r="U22" s="34">
        <f>'Access-Ago'!O22</f>
        <v>243712696.56999999</v>
      </c>
      <c r="V22" s="35">
        <f t="shared" si="3"/>
        <v>0.99056775778841777</v>
      </c>
      <c r="W22" s="34">
        <f>'Access-Ago'!P22</f>
        <v>241977778.63</v>
      </c>
      <c r="X22" s="35">
        <f t="shared" si="4"/>
        <v>0.98351620159967779</v>
      </c>
    </row>
    <row r="23" spans="1:24" ht="25.5" customHeight="1" x14ac:dyDescent="0.2">
      <c r="A23" s="31" t="str">
        <f>+'Access-Ago'!A23</f>
        <v>12104</v>
      </c>
      <c r="B23" s="32" t="str">
        <f>+'Access-Ago'!B23</f>
        <v>TRIBUNAL REGIONAL FEDERAL DA 3A. REGIAO</v>
      </c>
      <c r="C23" s="31" t="str">
        <f>CONCATENATE('Access-Ago'!C23,".",'Access-Ago'!D23)</f>
        <v>02.122</v>
      </c>
      <c r="D23" s="31" t="str">
        <f>CONCATENATE('Access-Ago'!E23,".",'Access-Ago'!G23)</f>
        <v>0569.216H</v>
      </c>
      <c r="E23" s="32" t="str">
        <f>+'Access-Ago'!F23</f>
        <v>PRESTACAO JURISDICIONAL NA JUSTICA FEDERAL</v>
      </c>
      <c r="F23" s="32" t="str">
        <f>+'Access-Ago'!H23</f>
        <v>AJUDA DE CUSTO PARA MORADIA OU AUXILIO-MORADIA A AGENTES PUB</v>
      </c>
      <c r="G23" s="31" t="str">
        <f>IF('Access-Ago'!I23="1","F","S")</f>
        <v>F</v>
      </c>
      <c r="H23" s="31" t="str">
        <f>+'Access-Ago'!J23</f>
        <v>0100</v>
      </c>
      <c r="I23" s="32" t="str">
        <f>+'Access-Ago'!K23</f>
        <v>RECURSOS ORDINARIOS</v>
      </c>
      <c r="J23" s="31" t="str">
        <f>+'Access-Ago'!L23</f>
        <v>3</v>
      </c>
      <c r="K23" s="50"/>
      <c r="L23" s="50"/>
      <c r="M23" s="50"/>
      <c r="N23" s="50">
        <f t="shared" si="0"/>
        <v>0</v>
      </c>
      <c r="O23" s="50"/>
      <c r="P23" s="34">
        <f>'Access-Ago'!M23</f>
        <v>2303742</v>
      </c>
      <c r="Q23" s="34"/>
      <c r="R23" s="34">
        <f t="shared" si="1"/>
        <v>2303742</v>
      </c>
      <c r="S23" s="39">
        <f>'Access-Ago'!N23</f>
        <v>1533118.36</v>
      </c>
      <c r="T23" s="35">
        <f t="shared" si="2"/>
        <v>0.66549047593003041</v>
      </c>
      <c r="U23" s="34">
        <f>'Access-Ago'!O23</f>
        <v>1533118.36</v>
      </c>
      <c r="V23" s="35">
        <f t="shared" si="3"/>
        <v>0.66549047593003041</v>
      </c>
      <c r="W23" s="34">
        <f>'Access-Ago'!P23</f>
        <v>1533118.36</v>
      </c>
      <c r="X23" s="35">
        <f t="shared" si="4"/>
        <v>0.66549047593003041</v>
      </c>
    </row>
    <row r="24" spans="1:24" ht="25.5" customHeight="1" x14ac:dyDescent="0.2">
      <c r="A24" s="31" t="str">
        <f>+'Access-Ago'!A24</f>
        <v>12104</v>
      </c>
      <c r="B24" s="32" t="str">
        <f>+'Access-Ago'!B24</f>
        <v>TRIBUNAL REGIONAL FEDERAL DA 3A. REGIAO</v>
      </c>
      <c r="C24" s="31" t="str">
        <f>CONCATENATE('Access-Ago'!C24,".",'Access-Ago'!D24)</f>
        <v>02.126</v>
      </c>
      <c r="D24" s="31" t="str">
        <f>CONCATENATE('Access-Ago'!E24,".",'Access-Ago'!G24)</f>
        <v>0569.151W</v>
      </c>
      <c r="E24" s="32" t="str">
        <f>+'Access-Ago'!F24</f>
        <v>PRESTACAO JURISDICIONAL NA JUSTICA FEDERAL</v>
      </c>
      <c r="F24" s="32" t="str">
        <f>+'Access-Ago'!H24</f>
        <v>DESENVOLVIMENTO E IMPLANTACAO DO SISTEMA PROCESSO JUDICIAL E</v>
      </c>
      <c r="G24" s="31" t="str">
        <f>IF('Access-Ago'!I24="1","F","S")</f>
        <v>F</v>
      </c>
      <c r="H24" s="31" t="str">
        <f>+'Access-Ago'!J24</f>
        <v>0100</v>
      </c>
      <c r="I24" s="32" t="str">
        <f>+'Access-Ago'!K24</f>
        <v>RECURSOS ORDINARIOS</v>
      </c>
      <c r="J24" s="31" t="str">
        <f>+'Access-Ago'!L24</f>
        <v>3</v>
      </c>
      <c r="K24" s="50"/>
      <c r="L24" s="50"/>
      <c r="M24" s="50"/>
      <c r="N24" s="50">
        <f t="shared" si="0"/>
        <v>0</v>
      </c>
      <c r="O24" s="50"/>
      <c r="P24" s="34">
        <f>'Access-Ago'!M24</f>
        <v>660997</v>
      </c>
      <c r="Q24" s="34"/>
      <c r="R24" s="34">
        <f t="shared" si="1"/>
        <v>660997</v>
      </c>
      <c r="S24" s="39">
        <f>'Access-Ago'!N24</f>
        <v>623888.19999999995</v>
      </c>
      <c r="T24" s="35">
        <f t="shared" si="2"/>
        <v>0.94385935185787528</v>
      </c>
      <c r="U24" s="34">
        <f>'Access-Ago'!O24</f>
        <v>494498.3</v>
      </c>
      <c r="V24" s="35">
        <f t="shared" si="3"/>
        <v>0.74810974936346153</v>
      </c>
      <c r="W24" s="34">
        <f>'Access-Ago'!P24</f>
        <v>483920.44</v>
      </c>
      <c r="X24" s="35">
        <f t="shared" si="4"/>
        <v>0.73210686281480852</v>
      </c>
    </row>
    <row r="25" spans="1:24" ht="25.5" customHeight="1" x14ac:dyDescent="0.2">
      <c r="A25" s="31" t="str">
        <f>+'Access-Ago'!A25</f>
        <v>12104</v>
      </c>
      <c r="B25" s="32" t="str">
        <f>+'Access-Ago'!B25</f>
        <v>TRIBUNAL REGIONAL FEDERAL DA 3A. REGIAO</v>
      </c>
      <c r="C25" s="31" t="str">
        <f>CONCATENATE('Access-Ago'!C25,".",'Access-Ago'!D25)</f>
        <v>02.131</v>
      </c>
      <c r="D25" s="31" t="str">
        <f>CONCATENATE('Access-Ago'!E25,".",'Access-Ago'!G25)</f>
        <v>0569.2549</v>
      </c>
      <c r="E25" s="32" t="str">
        <f>+'Access-Ago'!F25</f>
        <v>PRESTACAO JURISDICIONAL NA JUSTICA FEDERAL</v>
      </c>
      <c r="F25" s="32" t="str">
        <f>+'Access-Ago'!H25</f>
        <v>COMUNICACAO E DIVULGACAO INSTITUCIONAL</v>
      </c>
      <c r="G25" s="31" t="str">
        <f>IF('Access-Ago'!I25="1","F","S")</f>
        <v>F</v>
      </c>
      <c r="H25" s="31" t="str">
        <f>+'Access-Ago'!J25</f>
        <v>0100</v>
      </c>
      <c r="I25" s="32" t="str">
        <f>+'Access-Ago'!K25</f>
        <v>RECURSOS ORDINARIOS</v>
      </c>
      <c r="J25" s="31" t="str">
        <f>+'Access-Ago'!L25</f>
        <v>3</v>
      </c>
      <c r="K25" s="50"/>
      <c r="L25" s="50"/>
      <c r="M25" s="50"/>
      <c r="N25" s="50">
        <f t="shared" si="0"/>
        <v>0</v>
      </c>
      <c r="O25" s="50"/>
      <c r="P25" s="34">
        <f>'Access-Ago'!M25</f>
        <v>432274</v>
      </c>
      <c r="Q25" s="34"/>
      <c r="R25" s="34">
        <f t="shared" si="1"/>
        <v>432274</v>
      </c>
      <c r="S25" s="39">
        <f>'Access-Ago'!N25</f>
        <v>420233</v>
      </c>
      <c r="T25" s="35">
        <f t="shared" si="2"/>
        <v>0.97214498211782341</v>
      </c>
      <c r="U25" s="34">
        <f>'Access-Ago'!O25</f>
        <v>280915.90999999997</v>
      </c>
      <c r="V25" s="35">
        <f t="shared" si="3"/>
        <v>0.64985613291569688</v>
      </c>
      <c r="W25" s="34">
        <f>'Access-Ago'!P25</f>
        <v>242591.88</v>
      </c>
      <c r="X25" s="35">
        <f t="shared" si="4"/>
        <v>0.56119933190522675</v>
      </c>
    </row>
    <row r="26" spans="1:24" ht="25.5" customHeight="1" x14ac:dyDescent="0.2">
      <c r="A26" s="31" t="str">
        <f>+'Access-Ago'!A26</f>
        <v>12104</v>
      </c>
      <c r="B26" s="32" t="str">
        <f>+'Access-Ago'!B26</f>
        <v>TRIBUNAL REGIONAL FEDERAL DA 3A. REGIAO</v>
      </c>
      <c r="C26" s="31" t="str">
        <f>CONCATENATE('Access-Ago'!C26,".",'Access-Ago'!D26)</f>
        <v>02.301</v>
      </c>
      <c r="D26" s="31" t="str">
        <f>CONCATENATE('Access-Ago'!E26,".",'Access-Ago'!G26)</f>
        <v>0569.2004</v>
      </c>
      <c r="E26" s="32" t="str">
        <f>+'Access-Ago'!F26</f>
        <v>PRESTACAO JURISDICIONAL NA JUSTICA FEDERAL</v>
      </c>
      <c r="F26" s="32" t="str">
        <f>+'Access-Ago'!H26</f>
        <v>ASSISTENCIA MEDICA E ODONTOLOGICA AOS SERVIDORES CIVIS, EMPR</v>
      </c>
      <c r="G26" s="31" t="str">
        <f>IF('Access-Ago'!I26="1","F","S")</f>
        <v>S</v>
      </c>
      <c r="H26" s="31" t="str">
        <f>+'Access-Ago'!J26</f>
        <v>0100</v>
      </c>
      <c r="I26" s="32" t="str">
        <f>+'Access-Ago'!K26</f>
        <v>RECURSOS ORDINARIOS</v>
      </c>
      <c r="J26" s="31" t="str">
        <f>+'Access-Ago'!L26</f>
        <v>4</v>
      </c>
      <c r="K26" s="50"/>
      <c r="L26" s="50"/>
      <c r="M26" s="50"/>
      <c r="N26" s="50">
        <f t="shared" si="0"/>
        <v>0</v>
      </c>
      <c r="O26" s="50"/>
      <c r="P26" s="34">
        <f>'Access-Ago'!M26</f>
        <v>15000</v>
      </c>
      <c r="Q26" s="34"/>
      <c r="R26" s="34">
        <f t="shared" si="1"/>
        <v>15000</v>
      </c>
      <c r="S26" s="39">
        <f>'Access-Ago'!N26</f>
        <v>0</v>
      </c>
      <c r="T26" s="35">
        <f t="shared" si="2"/>
        <v>0</v>
      </c>
      <c r="U26" s="34">
        <f>'Access-Ago'!O26</f>
        <v>0</v>
      </c>
      <c r="V26" s="35">
        <f t="shared" si="3"/>
        <v>0</v>
      </c>
      <c r="W26" s="34">
        <f>'Access-Ago'!P26</f>
        <v>0</v>
      </c>
      <c r="X26" s="35">
        <f t="shared" si="4"/>
        <v>0</v>
      </c>
    </row>
    <row r="27" spans="1:24" ht="25.5" customHeight="1" x14ac:dyDescent="0.2">
      <c r="A27" s="31" t="str">
        <f>+'Access-Ago'!A27</f>
        <v>12104</v>
      </c>
      <c r="B27" s="32" t="str">
        <f>+'Access-Ago'!B27</f>
        <v>TRIBUNAL REGIONAL FEDERAL DA 3A. REGIAO</v>
      </c>
      <c r="C27" s="31" t="str">
        <f>CONCATENATE('Access-Ago'!C27,".",'Access-Ago'!D27)</f>
        <v>02.301</v>
      </c>
      <c r="D27" s="31" t="str">
        <f>CONCATENATE('Access-Ago'!E27,".",'Access-Ago'!G27)</f>
        <v>0569.2004</v>
      </c>
      <c r="E27" s="32" t="str">
        <f>+'Access-Ago'!F27</f>
        <v>PRESTACAO JURISDICIONAL NA JUSTICA FEDERAL</v>
      </c>
      <c r="F27" s="32" t="str">
        <f>+'Access-Ago'!H27</f>
        <v>ASSISTENCIA MEDICA E ODONTOLOGICA AOS SERVIDORES CIVIS, EMPR</v>
      </c>
      <c r="G27" s="31" t="str">
        <f>IF('Access-Ago'!I27="1","F","S")</f>
        <v>S</v>
      </c>
      <c r="H27" s="31" t="str">
        <f>+'Access-Ago'!J27</f>
        <v>0100</v>
      </c>
      <c r="I27" s="32" t="str">
        <f>+'Access-Ago'!K27</f>
        <v>RECURSOS ORDINARIOS</v>
      </c>
      <c r="J27" s="31" t="str">
        <f>+'Access-Ago'!L27</f>
        <v>3</v>
      </c>
      <c r="K27" s="50"/>
      <c r="L27" s="50"/>
      <c r="M27" s="50"/>
      <c r="N27" s="50">
        <f t="shared" si="0"/>
        <v>0</v>
      </c>
      <c r="O27" s="50"/>
      <c r="P27" s="34">
        <f>'Access-Ago'!M27</f>
        <v>11979420</v>
      </c>
      <c r="Q27" s="34"/>
      <c r="R27" s="34">
        <f t="shared" si="1"/>
        <v>11979420</v>
      </c>
      <c r="S27" s="39">
        <f>'Access-Ago'!N27</f>
        <v>11891956.560000001</v>
      </c>
      <c r="T27" s="35">
        <f t="shared" si="2"/>
        <v>0.99269885854240025</v>
      </c>
      <c r="U27" s="34">
        <f>'Access-Ago'!O27</f>
        <v>6934266.5</v>
      </c>
      <c r="V27" s="35">
        <f t="shared" si="3"/>
        <v>0.57884826644361742</v>
      </c>
      <c r="W27" s="34">
        <f>'Access-Ago'!P27</f>
        <v>6934266.5</v>
      </c>
      <c r="X27" s="35">
        <f t="shared" si="4"/>
        <v>0.57884826644361742</v>
      </c>
    </row>
    <row r="28" spans="1:24" ht="25.5" customHeight="1" x14ac:dyDescent="0.2">
      <c r="A28" s="31" t="str">
        <f>+'Access-Ago'!A28</f>
        <v>12104</v>
      </c>
      <c r="B28" s="32" t="str">
        <f>+'Access-Ago'!B28</f>
        <v>TRIBUNAL REGIONAL FEDERAL DA 3A. REGIAO</v>
      </c>
      <c r="C28" s="31" t="str">
        <f>CONCATENATE('Access-Ago'!C28,".",'Access-Ago'!D28)</f>
        <v>02.331</v>
      </c>
      <c r="D28" s="31" t="str">
        <f>CONCATENATE('Access-Ago'!E28,".",'Access-Ago'!G28)</f>
        <v>0569.00M1</v>
      </c>
      <c r="E28" s="32" t="str">
        <f>+'Access-Ago'!F28</f>
        <v>PRESTACAO JURISDICIONAL NA JUSTICA FEDERAL</v>
      </c>
      <c r="F28" s="32" t="str">
        <f>+'Access-Ago'!H28</f>
        <v>BENEFICIOS ASSISTENCIAIS DECORRENTES DO AUXILIO-FUNERAL E NA</v>
      </c>
      <c r="G28" s="31" t="str">
        <f>IF('Access-Ago'!I28="1","F","S")</f>
        <v>F</v>
      </c>
      <c r="H28" s="31" t="str">
        <f>+'Access-Ago'!J28</f>
        <v>0100</v>
      </c>
      <c r="I28" s="32" t="str">
        <f>+'Access-Ago'!K28</f>
        <v>RECURSOS ORDINARIOS</v>
      </c>
      <c r="J28" s="31" t="str">
        <f>+'Access-Ago'!L28</f>
        <v>3</v>
      </c>
      <c r="K28" s="50"/>
      <c r="L28" s="50"/>
      <c r="M28" s="50"/>
      <c r="N28" s="50">
        <f t="shared" si="0"/>
        <v>0</v>
      </c>
      <c r="O28" s="50"/>
      <c r="P28" s="34">
        <f>'Access-Ago'!M28</f>
        <v>61098.07</v>
      </c>
      <c r="Q28" s="34"/>
      <c r="R28" s="34">
        <f t="shared" si="1"/>
        <v>61098.07</v>
      </c>
      <c r="S28" s="34">
        <f>'Access-Ago'!N28</f>
        <v>61098.07</v>
      </c>
      <c r="T28" s="35">
        <f t="shared" si="2"/>
        <v>1</v>
      </c>
      <c r="U28" s="34">
        <f>'Access-Ago'!O28</f>
        <v>61098.07</v>
      </c>
      <c r="V28" s="35">
        <f t="shared" si="3"/>
        <v>1</v>
      </c>
      <c r="W28" s="34">
        <f>'Access-Ago'!P28</f>
        <v>61098.07</v>
      </c>
      <c r="X28" s="35">
        <f t="shared" si="4"/>
        <v>1</v>
      </c>
    </row>
    <row r="29" spans="1:24" ht="25.5" customHeight="1" x14ac:dyDescent="0.2">
      <c r="A29" s="31" t="str">
        <f>+'Access-Ago'!A29</f>
        <v>12104</v>
      </c>
      <c r="B29" s="32" t="str">
        <f>+'Access-Ago'!B29</f>
        <v>TRIBUNAL REGIONAL FEDERAL DA 3A. REGIAO</v>
      </c>
      <c r="C29" s="31" t="str">
        <f>CONCATENATE('Access-Ago'!C29,".",'Access-Ago'!D29)</f>
        <v>02.331</v>
      </c>
      <c r="D29" s="31" t="str">
        <f>CONCATENATE('Access-Ago'!E29,".",'Access-Ago'!G29)</f>
        <v>0569.2010</v>
      </c>
      <c r="E29" s="32" t="str">
        <f>+'Access-Ago'!F29</f>
        <v>PRESTACAO JURISDICIONAL NA JUSTICA FEDERAL</v>
      </c>
      <c r="F29" s="32" t="str">
        <f>+'Access-Ago'!H29</f>
        <v>ASSISTENCIA PRE-ESCOLAR AOS DEPENDENTES DOS SERVIDORES CIVIS</v>
      </c>
      <c r="G29" s="31" t="str">
        <f>IF('Access-Ago'!I29="1","F","S")</f>
        <v>F</v>
      </c>
      <c r="H29" s="31" t="str">
        <f>+'Access-Ago'!J29</f>
        <v>0100</v>
      </c>
      <c r="I29" s="32" t="str">
        <f>+'Access-Ago'!K29</f>
        <v>RECURSOS ORDINARIOS</v>
      </c>
      <c r="J29" s="31" t="str">
        <f>+'Access-Ago'!L29</f>
        <v>3</v>
      </c>
      <c r="K29" s="50"/>
      <c r="L29" s="50"/>
      <c r="M29" s="50"/>
      <c r="N29" s="50">
        <f t="shared" si="0"/>
        <v>0</v>
      </c>
      <c r="O29" s="50"/>
      <c r="P29" s="34">
        <f>'Access-Ago'!M29</f>
        <v>2063448</v>
      </c>
      <c r="Q29" s="34"/>
      <c r="R29" s="34">
        <f t="shared" si="1"/>
        <v>2063448</v>
      </c>
      <c r="S29" s="34">
        <f>'Access-Ago'!N29</f>
        <v>2063448</v>
      </c>
      <c r="T29" s="35">
        <f t="shared" si="2"/>
        <v>1</v>
      </c>
      <c r="U29" s="34">
        <f>'Access-Ago'!O29</f>
        <v>1411281</v>
      </c>
      <c r="V29" s="35">
        <f t="shared" si="3"/>
        <v>0.68394308943089432</v>
      </c>
      <c r="W29" s="34">
        <f>'Access-Ago'!P29</f>
        <v>1411281</v>
      </c>
      <c r="X29" s="35">
        <f t="shared" si="4"/>
        <v>0.68394308943089432</v>
      </c>
    </row>
    <row r="30" spans="1:24" ht="25.5" customHeight="1" x14ac:dyDescent="0.2">
      <c r="A30" s="31" t="str">
        <f>+'Access-Ago'!A30</f>
        <v>12104</v>
      </c>
      <c r="B30" s="32" t="str">
        <f>+'Access-Ago'!B30</f>
        <v>TRIBUNAL REGIONAL FEDERAL DA 3A. REGIAO</v>
      </c>
      <c r="C30" s="31" t="str">
        <f>CONCATENATE('Access-Ago'!C30,".",'Access-Ago'!D30)</f>
        <v>02.331</v>
      </c>
      <c r="D30" s="31" t="str">
        <f>CONCATENATE('Access-Ago'!E30,".",'Access-Ago'!G30)</f>
        <v>0569.2011</v>
      </c>
      <c r="E30" s="32" t="str">
        <f>+'Access-Ago'!F30</f>
        <v>PRESTACAO JURISDICIONAL NA JUSTICA FEDERAL</v>
      </c>
      <c r="F30" s="32" t="str">
        <f>+'Access-Ago'!H30</f>
        <v>AUXILIO-TRANSPORTE AOS SERVIDORES CIVIS, EMPREGADOS E MILITA</v>
      </c>
      <c r="G30" s="31" t="str">
        <f>IF('Access-Ago'!I30="1","F","S")</f>
        <v>F</v>
      </c>
      <c r="H30" s="31" t="str">
        <f>+'Access-Ago'!J30</f>
        <v>0100</v>
      </c>
      <c r="I30" s="32" t="str">
        <f>+'Access-Ago'!K30</f>
        <v>RECURSOS ORDINARIOS</v>
      </c>
      <c r="J30" s="31" t="str">
        <f>+'Access-Ago'!L30</f>
        <v>3</v>
      </c>
      <c r="K30" s="50"/>
      <c r="L30" s="50"/>
      <c r="M30" s="50"/>
      <c r="N30" s="50">
        <f t="shared" si="0"/>
        <v>0</v>
      </c>
      <c r="O30" s="50"/>
      <c r="P30" s="34">
        <f>'Access-Ago'!M30</f>
        <v>1271000</v>
      </c>
      <c r="Q30" s="34"/>
      <c r="R30" s="34">
        <f t="shared" si="1"/>
        <v>1271000</v>
      </c>
      <c r="S30" s="34">
        <f>'Access-Ago'!N30</f>
        <v>1271000</v>
      </c>
      <c r="T30" s="35">
        <f t="shared" si="2"/>
        <v>1</v>
      </c>
      <c r="U30" s="34">
        <f>'Access-Ago'!O30</f>
        <v>691917.16</v>
      </c>
      <c r="V30" s="35">
        <f t="shared" si="3"/>
        <v>0.54438800944138477</v>
      </c>
      <c r="W30" s="34">
        <f>'Access-Ago'!P30</f>
        <v>691917.16</v>
      </c>
      <c r="X30" s="35">
        <f t="shared" si="4"/>
        <v>0.54438800944138477</v>
      </c>
    </row>
    <row r="31" spans="1:24" ht="25.5" customHeight="1" x14ac:dyDescent="0.2">
      <c r="A31" s="31" t="str">
        <f>+'Access-Ago'!A31</f>
        <v>12104</v>
      </c>
      <c r="B31" s="32" t="str">
        <f>+'Access-Ago'!B31</f>
        <v>TRIBUNAL REGIONAL FEDERAL DA 3A. REGIAO</v>
      </c>
      <c r="C31" s="31" t="str">
        <f>CONCATENATE('Access-Ago'!C31,".",'Access-Ago'!D31)</f>
        <v>02.331</v>
      </c>
      <c r="D31" s="31" t="str">
        <f>CONCATENATE('Access-Ago'!E31,".",'Access-Ago'!G31)</f>
        <v>0569.2012</v>
      </c>
      <c r="E31" s="32" t="str">
        <f>+'Access-Ago'!F31</f>
        <v>PRESTACAO JURISDICIONAL NA JUSTICA FEDERAL</v>
      </c>
      <c r="F31" s="32" t="str">
        <f>+'Access-Ago'!H31</f>
        <v>AUXILIO-ALIMENTACAO AOS SERVIDORES CIVIS, EMPREGADOS E MILIT</v>
      </c>
      <c r="G31" s="31" t="str">
        <f>IF('Access-Ago'!I31="1","F","S")</f>
        <v>F</v>
      </c>
      <c r="H31" s="31" t="str">
        <f>+'Access-Ago'!J31</f>
        <v>0100</v>
      </c>
      <c r="I31" s="32" t="str">
        <f>+'Access-Ago'!K31</f>
        <v>RECURSOS ORDINARIOS</v>
      </c>
      <c r="J31" s="31" t="str">
        <f>+'Access-Ago'!L31</f>
        <v>3</v>
      </c>
      <c r="K31" s="50"/>
      <c r="L31" s="50"/>
      <c r="M31" s="50"/>
      <c r="N31" s="50">
        <f t="shared" si="0"/>
        <v>0</v>
      </c>
      <c r="O31" s="50"/>
      <c r="P31" s="34">
        <f>'Access-Ago'!M31</f>
        <v>19423248</v>
      </c>
      <c r="Q31" s="34"/>
      <c r="R31" s="34">
        <f t="shared" si="1"/>
        <v>19423248</v>
      </c>
      <c r="S31" s="34">
        <f>'Access-Ago'!N31</f>
        <v>19423248</v>
      </c>
      <c r="T31" s="35">
        <f t="shared" si="2"/>
        <v>1</v>
      </c>
      <c r="U31" s="34">
        <f>'Access-Ago'!O31</f>
        <v>12938299.439999999</v>
      </c>
      <c r="V31" s="35">
        <f t="shared" si="3"/>
        <v>0.66612440102705783</v>
      </c>
      <c r="W31" s="34">
        <f>'Access-Ago'!P31</f>
        <v>12938299.439999999</v>
      </c>
      <c r="X31" s="35">
        <f t="shared" si="4"/>
        <v>0.66612440102705783</v>
      </c>
    </row>
    <row r="32" spans="1:24" ht="25.5" customHeight="1" x14ac:dyDescent="0.2">
      <c r="A32" s="31" t="str">
        <f>+'Access-Ago'!A32</f>
        <v>12104</v>
      </c>
      <c r="B32" s="32" t="str">
        <f>+'Access-Ago'!B32</f>
        <v>TRIBUNAL REGIONAL FEDERAL DA 3A. REGIAO</v>
      </c>
      <c r="C32" s="31" t="str">
        <f>CONCATENATE('Access-Ago'!C32,".",'Access-Ago'!D32)</f>
        <v>02.846</v>
      </c>
      <c r="D32" s="31" t="str">
        <f>CONCATENATE('Access-Ago'!E32,".",'Access-Ago'!G32)</f>
        <v>0569.09HB</v>
      </c>
      <c r="E32" s="32" t="str">
        <f>+'Access-Ago'!F32</f>
        <v>PRESTACAO JURISDICIONAL NA JUSTICA FEDERAL</v>
      </c>
      <c r="F32" s="32" t="str">
        <f>+'Access-Ago'!H32</f>
        <v>CONTRIBUICAO DA UNIAO, DE SUAS AUTARQUIAS E FUNDACOES PARA O</v>
      </c>
      <c r="G32" s="31" t="str">
        <f>IF('Access-Ago'!I32="1","F","S")</f>
        <v>F</v>
      </c>
      <c r="H32" s="31" t="str">
        <f>+'Access-Ago'!J32</f>
        <v>0100</v>
      </c>
      <c r="I32" s="32" t="str">
        <f>+'Access-Ago'!K32</f>
        <v>RECURSOS ORDINARIOS</v>
      </c>
      <c r="J32" s="31" t="str">
        <f>+'Access-Ago'!L32</f>
        <v>1</v>
      </c>
      <c r="K32" s="50"/>
      <c r="L32" s="50"/>
      <c r="M32" s="50"/>
      <c r="N32" s="50">
        <f t="shared" si="0"/>
        <v>0</v>
      </c>
      <c r="O32" s="50"/>
      <c r="P32" s="34">
        <f>'Access-Ago'!M32</f>
        <v>40329974.93</v>
      </c>
      <c r="Q32" s="34"/>
      <c r="R32" s="34">
        <f t="shared" si="1"/>
        <v>40329974.93</v>
      </c>
      <c r="S32" s="34">
        <f>'Access-Ago'!N32</f>
        <v>40329974.93</v>
      </c>
      <c r="T32" s="35">
        <f t="shared" si="2"/>
        <v>1</v>
      </c>
      <c r="U32" s="34">
        <f>'Access-Ago'!O32</f>
        <v>40329974.93</v>
      </c>
      <c r="V32" s="35">
        <f t="shared" si="3"/>
        <v>1</v>
      </c>
      <c r="W32" s="34">
        <f>'Access-Ago'!P32</f>
        <v>40329974.93</v>
      </c>
      <c r="X32" s="35">
        <f t="shared" si="4"/>
        <v>1</v>
      </c>
    </row>
    <row r="33" spans="1:24" ht="25.5" customHeight="1" x14ac:dyDescent="0.2">
      <c r="A33" s="31" t="str">
        <f>+'Access-Ago'!A33</f>
        <v>12104</v>
      </c>
      <c r="B33" s="32" t="str">
        <f>+'Access-Ago'!B33</f>
        <v>TRIBUNAL REGIONAL FEDERAL DA 3A. REGIAO</v>
      </c>
      <c r="C33" s="31" t="str">
        <f>CONCATENATE('Access-Ago'!C33,".",'Access-Ago'!D33)</f>
        <v>09.272</v>
      </c>
      <c r="D33" s="31" t="str">
        <f>CONCATENATE('Access-Ago'!E33,".",'Access-Ago'!G33)</f>
        <v>0089.0181</v>
      </c>
      <c r="E33" s="32" t="str">
        <f>+'Access-Ago'!F33</f>
        <v>PREVIDENCIA DE INATIVOS E PENSIONISTAS DA UNIAO</v>
      </c>
      <c r="F33" s="32" t="str">
        <f>+'Access-Ago'!H33</f>
        <v>APOSENTADORIAS E PENSOES - SERVIDORES CIVIS</v>
      </c>
      <c r="G33" s="31" t="str">
        <f>IF('Access-Ago'!I33="1","F","S")</f>
        <v>S</v>
      </c>
      <c r="H33" s="31" t="str">
        <f>+'Access-Ago'!J33</f>
        <v>0156</v>
      </c>
      <c r="I33" s="32" t="str">
        <f>+'Access-Ago'!K33</f>
        <v>CONTRIBUICAO PLANO SEGURIDADE SOCIAL SERVIDOR</v>
      </c>
      <c r="J33" s="31" t="str">
        <f>+'Access-Ago'!L33</f>
        <v>1</v>
      </c>
      <c r="K33" s="50"/>
      <c r="L33" s="50"/>
      <c r="M33" s="50"/>
      <c r="N33" s="50">
        <f t="shared" ref="N33:N34" si="5">+K33+L33-M33</f>
        <v>0</v>
      </c>
      <c r="O33" s="50"/>
      <c r="P33" s="34">
        <f>'Access-Ago'!M33</f>
        <v>10453718.800000001</v>
      </c>
      <c r="Q33" s="34"/>
      <c r="R33" s="34">
        <f t="shared" ref="R33:R34" si="6">N33-O33+P33</f>
        <v>10453718.800000001</v>
      </c>
      <c r="S33" s="34">
        <f>'Access-Ago'!N33</f>
        <v>10453718.800000001</v>
      </c>
      <c r="T33" s="35">
        <f t="shared" ref="T33:T34" si="7">IF(R33&gt;0,S33/R33,0)</f>
        <v>1</v>
      </c>
      <c r="U33" s="34">
        <f>'Access-Ago'!O33</f>
        <v>10453718.800000001</v>
      </c>
      <c r="V33" s="35">
        <f t="shared" ref="V33:V34" si="8">IF(R33&gt;0,U33/R33,0)</f>
        <v>1</v>
      </c>
      <c r="W33" s="34">
        <f>'Access-Ago'!P33</f>
        <v>9971801.1099999994</v>
      </c>
      <c r="X33" s="35">
        <f t="shared" ref="X33:X34" si="9">IF(R33&gt;0,W33/R33,0)</f>
        <v>0.95389988010773719</v>
      </c>
    </row>
    <row r="34" spans="1:24" ht="25.5" customHeight="1" thickBot="1" x14ac:dyDescent="0.25">
      <c r="A34" s="31" t="str">
        <f>+'Access-Ago'!A34</f>
        <v>12104</v>
      </c>
      <c r="B34" s="32" t="str">
        <f>+'Access-Ago'!B34</f>
        <v>TRIBUNAL REGIONAL FEDERAL DA 3A. REGIAO</v>
      </c>
      <c r="C34" s="31" t="str">
        <f>CONCATENATE('Access-Ago'!C34,".",'Access-Ago'!D34)</f>
        <v>09.272</v>
      </c>
      <c r="D34" s="31" t="str">
        <f>CONCATENATE('Access-Ago'!E34,".",'Access-Ago'!G34)</f>
        <v>0089.0181</v>
      </c>
      <c r="E34" s="32" t="str">
        <f>+'Access-Ago'!F34</f>
        <v>PREVIDENCIA DE INATIVOS E PENSIONISTAS DA UNIAO</v>
      </c>
      <c r="F34" s="32" t="str">
        <f>+'Access-Ago'!H34</f>
        <v>APOSENTADORIAS E PENSOES - SERVIDORES CIVIS</v>
      </c>
      <c r="G34" s="31" t="str">
        <f>IF('Access-Ago'!I34="1","F","S")</f>
        <v>S</v>
      </c>
      <c r="H34" s="31" t="str">
        <f>+'Access-Ago'!J34</f>
        <v>0169</v>
      </c>
      <c r="I34" s="32" t="str">
        <f>+'Access-Ago'!K34</f>
        <v>CONTRIB.PATRONAL P/PLANO DE SEGURID.SOC.SERV.</v>
      </c>
      <c r="J34" s="31" t="str">
        <f>+'Access-Ago'!L34</f>
        <v>1</v>
      </c>
      <c r="K34" s="50"/>
      <c r="L34" s="50"/>
      <c r="M34" s="50"/>
      <c r="N34" s="50">
        <f t="shared" si="5"/>
        <v>0</v>
      </c>
      <c r="O34" s="50"/>
      <c r="P34" s="34">
        <f>'Access-Ago'!M34</f>
        <v>55200000</v>
      </c>
      <c r="Q34" s="34"/>
      <c r="R34" s="34">
        <f t="shared" si="6"/>
        <v>55200000</v>
      </c>
      <c r="S34" s="34">
        <f>'Access-Ago'!N34</f>
        <v>55200000</v>
      </c>
      <c r="T34" s="35">
        <f t="shared" si="7"/>
        <v>1</v>
      </c>
      <c r="U34" s="34">
        <f>'Access-Ago'!O34</f>
        <v>55200000</v>
      </c>
      <c r="V34" s="35">
        <f t="shared" si="8"/>
        <v>1</v>
      </c>
      <c r="W34" s="34">
        <f>'Access-Ago'!P34</f>
        <v>55200000</v>
      </c>
      <c r="X34" s="35">
        <f t="shared" si="9"/>
        <v>1</v>
      </c>
    </row>
    <row r="35" spans="1:24" ht="25.5" customHeight="1" thickBot="1" x14ac:dyDescent="0.25">
      <c r="A35" s="86" t="s">
        <v>113</v>
      </c>
      <c r="B35" s="87"/>
      <c r="C35" s="87"/>
      <c r="D35" s="87"/>
      <c r="E35" s="87"/>
      <c r="F35" s="87"/>
      <c r="G35" s="87"/>
      <c r="H35" s="87"/>
      <c r="I35" s="87"/>
      <c r="J35" s="88"/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52">
        <f>SUM(P10:P34)</f>
        <v>463989262.44999999</v>
      </c>
      <c r="Q35" s="52">
        <f>SUM(Q10:Q34)</f>
        <v>0</v>
      </c>
      <c r="R35" s="52">
        <f>SUM(R10:R34)</f>
        <v>463989262.44999999</v>
      </c>
      <c r="S35" s="52">
        <f>SUM(S10:S34)</f>
        <v>435717061.63</v>
      </c>
      <c r="T35" s="43">
        <f t="shared" si="2"/>
        <v>0.93906712265125614</v>
      </c>
      <c r="U35" s="52">
        <f>SUM(U10:U34)</f>
        <v>399944690.05000007</v>
      </c>
      <c r="V35" s="43">
        <f t="shared" si="3"/>
        <v>0.86196971011392443</v>
      </c>
      <c r="W35" s="52">
        <f>SUM(W10:W34)</f>
        <v>396203718.33000004</v>
      </c>
      <c r="X35" s="43">
        <f t="shared" si="4"/>
        <v>0.85390708448279107</v>
      </c>
    </row>
    <row r="36" spans="1:24" ht="25.5" customHeight="1" x14ac:dyDescent="0.2">
      <c r="A36" s="7" t="s">
        <v>114</v>
      </c>
      <c r="B36" s="7"/>
      <c r="C36" s="7"/>
      <c r="D36" s="7"/>
      <c r="E36" s="7"/>
      <c r="F36" s="7"/>
      <c r="G36" s="7"/>
      <c r="H36" s="8"/>
      <c r="I36" s="8"/>
      <c r="J36" s="8"/>
      <c r="K36" s="7"/>
      <c r="L36" s="7"/>
      <c r="M36" s="7"/>
      <c r="N36" s="7"/>
      <c r="O36" s="7"/>
      <c r="P36" s="7"/>
      <c r="Q36" s="7"/>
      <c r="R36" s="7"/>
      <c r="S36" s="7"/>
      <c r="T36" s="7"/>
      <c r="U36" s="45"/>
      <c r="V36" s="7"/>
      <c r="W36" s="45"/>
      <c r="X36" s="7"/>
    </row>
    <row r="37" spans="1:24" ht="25.5" customHeight="1" x14ac:dyDescent="0.2">
      <c r="A37" s="7" t="s">
        <v>115</v>
      </c>
      <c r="B37" s="53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9" spans="1:24" ht="25.5" customHeight="1" x14ac:dyDescent="0.2">
      <c r="N39" s="4"/>
      <c r="O39" s="4"/>
      <c r="P39" s="4"/>
      <c r="Q39" s="4"/>
      <c r="R39" s="4"/>
      <c r="S39" s="4"/>
      <c r="T39" s="4"/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A35:J35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view="pageBreakPreview" zoomScaleNormal="75" zoomScaleSheetLayoutView="100" workbookViewId="0">
      <selection activeCell="A33" sqref="A33:XFD33"/>
    </sheetView>
  </sheetViews>
  <sheetFormatPr defaultRowHeight="25.5" customHeight="1" x14ac:dyDescent="0.2"/>
  <cols>
    <col min="1" max="1" width="14.85546875" style="2" customWidth="1"/>
    <col min="2" max="2" width="39" style="2" customWidth="1"/>
    <col min="3" max="3" width="11.85546875" style="2" customWidth="1"/>
    <col min="4" max="4" width="19.28515625" style="2" customWidth="1"/>
    <col min="5" max="5" width="44.7109375" style="2" customWidth="1"/>
    <col min="6" max="6" width="61.5703125" style="2" customWidth="1"/>
    <col min="7" max="7" width="8.140625" style="1" customWidth="1"/>
    <col min="8" max="8" width="9.140625" style="1"/>
    <col min="9" max="9" width="36" style="1" customWidth="1"/>
    <col min="10" max="10" width="9.140625" style="1"/>
    <col min="11" max="11" width="13.28515625" style="1" customWidth="1"/>
    <col min="12" max="12" width="12" style="1" customWidth="1"/>
    <col min="13" max="13" width="13.85546875" style="1" customWidth="1"/>
    <col min="14" max="14" width="11.140625" style="1" customWidth="1"/>
    <col min="15" max="15" width="15.85546875" style="1" customWidth="1"/>
    <col min="16" max="16" width="13.28515625" style="3" customWidth="1"/>
    <col min="17" max="17" width="11" style="1" customWidth="1"/>
    <col min="18" max="18" width="13" style="3" customWidth="1"/>
    <col min="19" max="19" width="13" style="1" customWidth="1"/>
    <col min="20" max="20" width="9.28515625" style="3" bestFit="1" customWidth="1"/>
    <col min="21" max="21" width="16.85546875" style="4" customWidth="1"/>
    <col min="22" max="22" width="9.28515625" style="4" bestFit="1" customWidth="1"/>
    <col min="23" max="23" width="12.140625" style="4" customWidth="1"/>
    <col min="24" max="24" width="9.28515625" style="4" bestFit="1" customWidth="1"/>
    <col min="25" max="16384" width="9.140625" style="4"/>
  </cols>
  <sheetData>
    <row r="1" spans="1:24" ht="25.5" customHeight="1" x14ac:dyDescent="0.2">
      <c r="A1" s="6" t="s">
        <v>79</v>
      </c>
      <c r="B1" s="6"/>
      <c r="C1" s="6"/>
      <c r="D1" s="6"/>
      <c r="E1" s="7"/>
      <c r="F1" s="7"/>
      <c r="G1" s="7"/>
      <c r="H1" s="8"/>
      <c r="I1" s="8"/>
      <c r="J1" s="8"/>
      <c r="K1" s="7"/>
      <c r="L1" s="7"/>
      <c r="M1" s="7"/>
      <c r="N1" s="7"/>
      <c r="O1" s="7"/>
      <c r="P1" s="7"/>
      <c r="Q1" s="7"/>
      <c r="R1" s="7"/>
      <c r="S1" s="7"/>
      <c r="T1" s="7"/>
      <c r="U1" s="45"/>
      <c r="V1" s="7"/>
      <c r="W1" s="45"/>
      <c r="X1" s="7"/>
    </row>
    <row r="2" spans="1:24" ht="25.5" customHeight="1" x14ac:dyDescent="0.2">
      <c r="A2" s="6" t="s">
        <v>80</v>
      </c>
      <c r="B2" s="6" t="s">
        <v>81</v>
      </c>
      <c r="C2" s="6"/>
      <c r="D2" s="6"/>
      <c r="E2" s="7"/>
      <c r="F2" s="7"/>
      <c r="G2" s="7"/>
      <c r="H2" s="8"/>
      <c r="I2" s="8"/>
      <c r="J2" s="8"/>
      <c r="K2" s="7"/>
      <c r="L2" s="7"/>
      <c r="M2" s="7"/>
      <c r="N2" s="7"/>
      <c r="O2" s="7"/>
      <c r="P2" s="7"/>
      <c r="Q2" s="7"/>
      <c r="R2" s="7"/>
      <c r="S2" s="7"/>
      <c r="T2" s="7"/>
      <c r="U2" s="45"/>
      <c r="V2" s="7"/>
      <c r="W2" s="45"/>
      <c r="X2" s="7"/>
    </row>
    <row r="3" spans="1:24" ht="25.5" customHeight="1" x14ac:dyDescent="0.2">
      <c r="A3" s="6" t="s">
        <v>82</v>
      </c>
      <c r="B3" s="46" t="s">
        <v>116</v>
      </c>
      <c r="C3" s="46"/>
      <c r="D3" s="46"/>
      <c r="E3" s="7"/>
      <c r="F3" s="7"/>
      <c r="G3" s="7"/>
      <c r="H3" s="8"/>
      <c r="I3" s="8"/>
      <c r="J3" s="8"/>
      <c r="K3" s="7"/>
      <c r="L3" s="7"/>
      <c r="M3" s="7"/>
      <c r="N3" s="7"/>
      <c r="O3" s="7"/>
      <c r="P3" s="7"/>
      <c r="Q3" s="7"/>
      <c r="R3" s="7"/>
      <c r="S3" s="7"/>
      <c r="T3" s="7"/>
      <c r="U3" s="45"/>
      <c r="V3" s="7"/>
      <c r="W3" s="45"/>
      <c r="X3" s="7"/>
    </row>
    <row r="4" spans="1:24" ht="25.5" customHeight="1" x14ac:dyDescent="0.2">
      <c r="A4" s="9" t="s">
        <v>83</v>
      </c>
      <c r="B4" s="10">
        <v>42979</v>
      </c>
      <c r="C4" s="11"/>
      <c r="D4" s="9"/>
      <c r="E4" s="7"/>
      <c r="F4" s="7"/>
      <c r="G4" s="7"/>
      <c r="H4" s="8"/>
      <c r="I4" s="8"/>
      <c r="J4" s="8"/>
      <c r="K4" s="7"/>
      <c r="L4" s="7"/>
      <c r="M4" s="7"/>
      <c r="N4" s="7"/>
      <c r="O4" s="7"/>
      <c r="P4" s="7"/>
      <c r="Q4" s="7"/>
      <c r="R4" s="7"/>
      <c r="S4" s="7"/>
      <c r="T4" s="7"/>
      <c r="U4" s="45"/>
      <c r="V4" s="7"/>
      <c r="W4" s="45"/>
      <c r="X4" s="7"/>
    </row>
    <row r="5" spans="1:24" ht="25.5" customHeight="1" x14ac:dyDescent="0.2">
      <c r="A5" s="93" t="s">
        <v>84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</row>
    <row r="6" spans="1:24" ht="25.5" customHeight="1" thickBot="1" x14ac:dyDescent="0.25">
      <c r="A6" s="7"/>
      <c r="B6" s="7"/>
      <c r="C6" s="7"/>
      <c r="D6" s="7"/>
      <c r="E6" s="7"/>
      <c r="F6" s="7"/>
      <c r="G6" s="7"/>
      <c r="H6" s="8"/>
      <c r="I6" s="8"/>
      <c r="J6" s="8"/>
      <c r="K6" s="7"/>
      <c r="L6" s="7"/>
      <c r="M6" s="7"/>
      <c r="N6" s="7"/>
      <c r="O6" s="7"/>
      <c r="P6" s="7"/>
      <c r="Q6" s="7"/>
      <c r="R6" s="7"/>
      <c r="S6" s="7"/>
      <c r="T6" s="7"/>
      <c r="U6" s="45"/>
      <c r="V6" s="7"/>
      <c r="W6" s="45"/>
      <c r="X6" s="7"/>
    </row>
    <row r="7" spans="1:24" ht="25.5" customHeight="1" thickBot="1" x14ac:dyDescent="0.25">
      <c r="A7" s="91" t="s">
        <v>85</v>
      </c>
      <c r="B7" s="94"/>
      <c r="C7" s="94"/>
      <c r="D7" s="94"/>
      <c r="E7" s="94"/>
      <c r="F7" s="94"/>
      <c r="G7" s="94"/>
      <c r="H7" s="94"/>
      <c r="I7" s="94"/>
      <c r="J7" s="92"/>
      <c r="K7" s="89" t="s">
        <v>3</v>
      </c>
      <c r="L7" s="86" t="s">
        <v>86</v>
      </c>
      <c r="M7" s="88"/>
      <c r="N7" s="89" t="s">
        <v>87</v>
      </c>
      <c r="O7" s="89" t="s">
        <v>88</v>
      </c>
      <c r="P7" s="91" t="s">
        <v>89</v>
      </c>
      <c r="Q7" s="92"/>
      <c r="R7" s="89" t="s">
        <v>6</v>
      </c>
      <c r="S7" s="91" t="s">
        <v>90</v>
      </c>
      <c r="T7" s="94"/>
      <c r="U7" s="94"/>
      <c r="V7" s="94"/>
      <c r="W7" s="94"/>
      <c r="X7" s="92"/>
    </row>
    <row r="8" spans="1:24" ht="25.5" customHeight="1" x14ac:dyDescent="0.2">
      <c r="A8" s="97" t="s">
        <v>23</v>
      </c>
      <c r="B8" s="98"/>
      <c r="C8" s="95" t="s">
        <v>91</v>
      </c>
      <c r="D8" s="95" t="s">
        <v>92</v>
      </c>
      <c r="E8" s="99" t="s">
        <v>93</v>
      </c>
      <c r="F8" s="100"/>
      <c r="G8" s="95" t="s">
        <v>0</v>
      </c>
      <c r="H8" s="84" t="s">
        <v>2</v>
      </c>
      <c r="I8" s="85"/>
      <c r="J8" s="95" t="s">
        <v>1</v>
      </c>
      <c r="K8" s="90"/>
      <c r="L8" s="12" t="s">
        <v>94</v>
      </c>
      <c r="M8" s="12" t="s">
        <v>95</v>
      </c>
      <c r="N8" s="90"/>
      <c r="O8" s="90"/>
      <c r="P8" s="14" t="s">
        <v>4</v>
      </c>
      <c r="Q8" s="14" t="s">
        <v>5</v>
      </c>
      <c r="R8" s="90"/>
      <c r="S8" s="13" t="s">
        <v>7</v>
      </c>
      <c r="T8" s="15" t="s">
        <v>8</v>
      </c>
      <c r="U8" s="13" t="s">
        <v>9</v>
      </c>
      <c r="V8" s="16" t="s">
        <v>8</v>
      </c>
      <c r="W8" s="17" t="s">
        <v>146</v>
      </c>
      <c r="X8" s="16" t="s">
        <v>8</v>
      </c>
    </row>
    <row r="9" spans="1:24" ht="25.5" customHeight="1" thickBot="1" x14ac:dyDescent="0.25">
      <c r="A9" s="18" t="s">
        <v>96</v>
      </c>
      <c r="B9" s="18" t="s">
        <v>97</v>
      </c>
      <c r="C9" s="96"/>
      <c r="D9" s="96"/>
      <c r="E9" s="19" t="s">
        <v>98</v>
      </c>
      <c r="F9" s="19" t="s">
        <v>99</v>
      </c>
      <c r="G9" s="96"/>
      <c r="H9" s="19" t="s">
        <v>96</v>
      </c>
      <c r="I9" s="19" t="s">
        <v>97</v>
      </c>
      <c r="J9" s="96"/>
      <c r="K9" s="18" t="s">
        <v>100</v>
      </c>
      <c r="L9" s="20" t="s">
        <v>101</v>
      </c>
      <c r="M9" s="20" t="s">
        <v>102</v>
      </c>
      <c r="N9" s="20" t="s">
        <v>103</v>
      </c>
      <c r="O9" s="20" t="s">
        <v>104</v>
      </c>
      <c r="P9" s="20" t="s">
        <v>12</v>
      </c>
      <c r="Q9" s="20" t="s">
        <v>105</v>
      </c>
      <c r="R9" s="18" t="s">
        <v>106</v>
      </c>
      <c r="S9" s="21" t="s">
        <v>107</v>
      </c>
      <c r="T9" s="22" t="s">
        <v>108</v>
      </c>
      <c r="U9" s="21" t="s">
        <v>109</v>
      </c>
      <c r="V9" s="22" t="s">
        <v>110</v>
      </c>
      <c r="W9" s="23" t="s">
        <v>111</v>
      </c>
      <c r="X9" s="22" t="s">
        <v>112</v>
      </c>
    </row>
    <row r="10" spans="1:24" ht="25.5" customHeight="1" x14ac:dyDescent="0.2">
      <c r="A10" s="24" t="str">
        <f>+'Access-Set'!A9</f>
        <v>12101</v>
      </c>
      <c r="B10" s="25" t="str">
        <f>+'Access-Set'!B9</f>
        <v>JUSTICA FEDERAL DE PRIMEIRO GRAU</v>
      </c>
      <c r="C10" s="26" t="str">
        <f>CONCATENATE('Access-Set'!C9,".",'Access-Set'!D9)</f>
        <v>02.061</v>
      </c>
      <c r="D10" s="26" t="str">
        <f>CONCATENATE('Access-Set'!E9,".",'Access-Set'!G9)</f>
        <v>0569.4257</v>
      </c>
      <c r="E10" s="25" t="str">
        <f>+'Access-Set'!F9</f>
        <v>PRESTACAO JURISDICIONAL NA JUSTICA FEDERAL</v>
      </c>
      <c r="F10" s="27" t="str">
        <f>+'Access-Set'!H9</f>
        <v>JULGAMENTO DE CAUSAS NA JUSTICA FEDERAL</v>
      </c>
      <c r="G10" s="24" t="str">
        <f>IF('Access-Set'!I9="1","F","S")</f>
        <v>F</v>
      </c>
      <c r="H10" s="24" t="str">
        <f>+'Access-Set'!J9</f>
        <v>0181</v>
      </c>
      <c r="I10" s="28" t="str">
        <f>+'Access-Set'!K9</f>
        <v>RECURSOS DE CONVENIOS</v>
      </c>
      <c r="J10" s="24" t="str">
        <f>+'Access-Set'!L9</f>
        <v>4</v>
      </c>
      <c r="K10" s="47"/>
      <c r="L10" s="48"/>
      <c r="M10" s="48"/>
      <c r="N10" s="49">
        <f>+K10+L10-M10</f>
        <v>0</v>
      </c>
      <c r="O10" s="47"/>
      <c r="P10" s="29">
        <f>'Access-Set'!M9</f>
        <v>0</v>
      </c>
      <c r="Q10" s="29"/>
      <c r="R10" s="29">
        <f>N10-O10+P10</f>
        <v>0</v>
      </c>
      <c r="S10" s="29">
        <f>'Access-Set'!N9</f>
        <v>0</v>
      </c>
      <c r="T10" s="44">
        <f>IF(R10&gt;0,S10/R10,0)</f>
        <v>0</v>
      </c>
      <c r="U10" s="29">
        <f>'Access-Set'!O9</f>
        <v>0</v>
      </c>
      <c r="V10" s="30">
        <f>IF(R10&gt;0,U10/R10,0)</f>
        <v>0</v>
      </c>
      <c r="W10" s="29">
        <f>'Access-Set'!P9</f>
        <v>0</v>
      </c>
      <c r="X10" s="30">
        <f>IF(R10&gt;0,W10/R10,0)</f>
        <v>0</v>
      </c>
    </row>
    <row r="11" spans="1:24" ht="25.5" customHeight="1" x14ac:dyDescent="0.2">
      <c r="A11" s="31" t="str">
        <f>+'Access-Set'!A10</f>
        <v>12104</v>
      </c>
      <c r="B11" s="32" t="str">
        <f>+'Access-Set'!B10</f>
        <v>TRIBUNAL REGIONAL FEDERAL DA 3A. REGIAO</v>
      </c>
      <c r="C11" s="31" t="str">
        <f>CONCATENATE('Access-Set'!C10,".",'Access-Set'!D10)</f>
        <v>02.061</v>
      </c>
      <c r="D11" s="31" t="str">
        <f>CONCATENATE('Access-Set'!E10,".",'Access-Set'!G10)</f>
        <v>0569.4224</v>
      </c>
      <c r="E11" s="32" t="str">
        <f>+'Access-Set'!F10</f>
        <v>PRESTACAO JURISDICIONAL NA JUSTICA FEDERAL</v>
      </c>
      <c r="F11" s="33" t="str">
        <f>+'Access-Set'!H10</f>
        <v>ASSISTENCIA JURIDICA A PESSOAS CARENTES</v>
      </c>
      <c r="G11" s="31" t="str">
        <f>IF('Access-Set'!I10="1","F","S")</f>
        <v>F</v>
      </c>
      <c r="H11" s="31" t="str">
        <f>+'Access-Set'!J10</f>
        <v>0100</v>
      </c>
      <c r="I11" s="32" t="str">
        <f>+'Access-Set'!K10</f>
        <v>RECURSOS ORDINARIOS</v>
      </c>
      <c r="J11" s="31" t="str">
        <f>+'Access-Set'!L10</f>
        <v>3</v>
      </c>
      <c r="K11" s="50"/>
      <c r="L11" s="50"/>
      <c r="M11" s="50"/>
      <c r="N11" s="51">
        <f t="shared" ref="N11:N30" si="0">+K11+L11-M11</f>
        <v>0</v>
      </c>
      <c r="O11" s="50"/>
      <c r="P11" s="34">
        <f>'Access-Set'!M10</f>
        <v>15000</v>
      </c>
      <c r="Q11" s="34"/>
      <c r="R11" s="34">
        <f t="shared" ref="R11:R30" si="1">N11-O11+P11</f>
        <v>15000</v>
      </c>
      <c r="S11" s="34">
        <f>'Access-Set'!N10</f>
        <v>15000</v>
      </c>
      <c r="T11" s="35">
        <f t="shared" ref="T11:T36" si="2">IF(R11&gt;0,S11/R11,0)</f>
        <v>1</v>
      </c>
      <c r="U11" s="34">
        <f>'Access-Set'!O10</f>
        <v>1302.73</v>
      </c>
      <c r="V11" s="35">
        <f t="shared" ref="V11:V36" si="3">IF(R11&gt;0,U11/R11,0)</f>
        <v>8.6848666666666671E-2</v>
      </c>
      <c r="W11" s="34">
        <f>'Access-Set'!P10</f>
        <v>1302.73</v>
      </c>
      <c r="X11" s="35">
        <f t="shared" ref="X11:X36" si="4">IF(R11&gt;0,W11/R11,0)</f>
        <v>8.6848666666666671E-2</v>
      </c>
    </row>
    <row r="12" spans="1:24" ht="25.5" customHeight="1" x14ac:dyDescent="0.2">
      <c r="A12" s="31" t="str">
        <f>+'Access-Set'!A11</f>
        <v>12104</v>
      </c>
      <c r="B12" s="32" t="str">
        <f>+'Access-Set'!B11</f>
        <v>TRIBUNAL REGIONAL FEDERAL DA 3A. REGIAO</v>
      </c>
      <c r="C12" s="31" t="str">
        <f>CONCATENATE('Access-Set'!C11,".",'Access-Set'!D11)</f>
        <v>02.061</v>
      </c>
      <c r="D12" s="31" t="str">
        <f>CONCATENATE('Access-Set'!E11,".",'Access-Set'!G11)</f>
        <v>0569.4257</v>
      </c>
      <c r="E12" s="32" t="str">
        <f>+'Access-Set'!F11</f>
        <v>PRESTACAO JURISDICIONAL NA JUSTICA FEDERAL</v>
      </c>
      <c r="F12" s="32" t="str">
        <f>+'Access-Set'!H11</f>
        <v>JULGAMENTO DE CAUSAS NA JUSTICA FEDERAL</v>
      </c>
      <c r="G12" s="31" t="str">
        <f>IF('Access-Set'!I11="1","F","S")</f>
        <v>F</v>
      </c>
      <c r="H12" s="31" t="str">
        <f>+'Access-Set'!J11</f>
        <v>0100</v>
      </c>
      <c r="I12" s="32" t="str">
        <f>+'Access-Set'!K11</f>
        <v>RECURSOS ORDINARIOS</v>
      </c>
      <c r="J12" s="31" t="str">
        <f>+'Access-Set'!L11</f>
        <v>4</v>
      </c>
      <c r="K12" s="34"/>
      <c r="L12" s="34"/>
      <c r="M12" s="34"/>
      <c r="N12" s="50">
        <f t="shared" si="0"/>
        <v>0</v>
      </c>
      <c r="O12" s="34"/>
      <c r="P12" s="34">
        <f>'Access-Set'!M11</f>
        <v>3111880</v>
      </c>
      <c r="Q12" s="34"/>
      <c r="R12" s="34">
        <f t="shared" si="1"/>
        <v>3111880</v>
      </c>
      <c r="S12" s="39">
        <f>'Access-Set'!N11</f>
        <v>247989.37</v>
      </c>
      <c r="T12" s="35">
        <f t="shared" si="2"/>
        <v>7.9691173824183448E-2</v>
      </c>
      <c r="U12" s="34">
        <f>'Access-Set'!O11</f>
        <v>76065.509999999995</v>
      </c>
      <c r="V12" s="35">
        <f t="shared" si="3"/>
        <v>2.444358715631708E-2</v>
      </c>
      <c r="W12" s="34">
        <f>'Access-Set'!P11</f>
        <v>60915.51</v>
      </c>
      <c r="X12" s="35">
        <f t="shared" si="4"/>
        <v>1.9575147499260898E-2</v>
      </c>
    </row>
    <row r="13" spans="1:24" ht="25.5" customHeight="1" x14ac:dyDescent="0.2">
      <c r="A13" s="31" t="str">
        <f>+'Access-Set'!A12</f>
        <v>12104</v>
      </c>
      <c r="B13" s="32" t="str">
        <f>+'Access-Set'!B12</f>
        <v>TRIBUNAL REGIONAL FEDERAL DA 3A. REGIAO</v>
      </c>
      <c r="C13" s="31" t="str">
        <f>CONCATENATE('Access-Set'!C12,".",'Access-Set'!D12)</f>
        <v>02.061</v>
      </c>
      <c r="D13" s="31" t="str">
        <f>CONCATENATE('Access-Set'!E12,".",'Access-Set'!G12)</f>
        <v>0569.4257</v>
      </c>
      <c r="E13" s="32" t="str">
        <f>+'Access-Set'!F12</f>
        <v>PRESTACAO JURISDICIONAL NA JUSTICA FEDERAL</v>
      </c>
      <c r="F13" s="32" t="str">
        <f>+'Access-Set'!H12</f>
        <v>JULGAMENTO DE CAUSAS NA JUSTICA FEDERAL</v>
      </c>
      <c r="G13" s="31" t="str">
        <f>IF('Access-Set'!I12="1","F","S")</f>
        <v>F</v>
      </c>
      <c r="H13" s="31" t="str">
        <f>+'Access-Set'!J12</f>
        <v>0100</v>
      </c>
      <c r="I13" s="32" t="str">
        <f>+'Access-Set'!K12</f>
        <v>RECURSOS ORDINARIOS</v>
      </c>
      <c r="J13" s="31" t="str">
        <f>+'Access-Set'!L12</f>
        <v>3</v>
      </c>
      <c r="K13" s="34"/>
      <c r="L13" s="34"/>
      <c r="M13" s="34"/>
      <c r="N13" s="50">
        <f t="shared" si="0"/>
        <v>0</v>
      </c>
      <c r="O13" s="34"/>
      <c r="P13" s="34">
        <f>'Access-Set'!M12</f>
        <v>48017851</v>
      </c>
      <c r="Q13" s="34"/>
      <c r="R13" s="34">
        <f t="shared" si="1"/>
        <v>48017851</v>
      </c>
      <c r="S13" s="39">
        <f>'Access-Set'!N12</f>
        <v>42132595.049999997</v>
      </c>
      <c r="T13" s="35">
        <f t="shared" si="2"/>
        <v>0.87743608205206847</v>
      </c>
      <c r="U13" s="34">
        <f>'Access-Set'!O12</f>
        <v>24721510.649999999</v>
      </c>
      <c r="V13" s="35">
        <f t="shared" si="3"/>
        <v>0.51484000502229887</v>
      </c>
      <c r="W13" s="34">
        <f>'Access-Set'!P12</f>
        <v>22235944.41</v>
      </c>
      <c r="X13" s="35">
        <f t="shared" si="4"/>
        <v>0.46307662560742252</v>
      </c>
    </row>
    <row r="14" spans="1:24" ht="25.5" customHeight="1" x14ac:dyDescent="0.2">
      <c r="A14" s="31" t="str">
        <f>+'Access-Set'!A13</f>
        <v>12104</v>
      </c>
      <c r="B14" s="32" t="str">
        <f>+'Access-Set'!B13</f>
        <v>TRIBUNAL REGIONAL FEDERAL DA 3A. REGIAO</v>
      </c>
      <c r="C14" s="31" t="str">
        <f>CONCATENATE('Access-Set'!C13,".",'Access-Set'!D13)</f>
        <v>02.061</v>
      </c>
      <c r="D14" s="31" t="str">
        <f>CONCATENATE('Access-Set'!E13,".",'Access-Set'!G13)</f>
        <v>0569.4257</v>
      </c>
      <c r="E14" s="32" t="str">
        <f>+'Access-Set'!F13</f>
        <v>PRESTACAO JURISDICIONAL NA JUSTICA FEDERAL</v>
      </c>
      <c r="F14" s="32" t="str">
        <f>+'Access-Set'!H13</f>
        <v>JULGAMENTO DE CAUSAS NA JUSTICA FEDERAL</v>
      </c>
      <c r="G14" s="31" t="str">
        <f>IF('Access-Set'!I13="1","F","S")</f>
        <v>F</v>
      </c>
      <c r="H14" s="31" t="str">
        <f>+'Access-Set'!J13</f>
        <v>0127</v>
      </c>
      <c r="I14" s="32" t="str">
        <f>+'Access-Set'!K13</f>
        <v>CUSTAS E EMOLUMENTOS - PODER JUDICIARIO</v>
      </c>
      <c r="J14" s="31" t="str">
        <f>+'Access-Set'!L13</f>
        <v>3</v>
      </c>
      <c r="K14" s="34"/>
      <c r="L14" s="34"/>
      <c r="M14" s="34"/>
      <c r="N14" s="50">
        <f t="shared" si="0"/>
        <v>0</v>
      </c>
      <c r="O14" s="34"/>
      <c r="P14" s="34">
        <f>'Access-Set'!M13</f>
        <v>6790890</v>
      </c>
      <c r="Q14" s="34"/>
      <c r="R14" s="34">
        <f t="shared" si="1"/>
        <v>6790890</v>
      </c>
      <c r="S14" s="39">
        <f>'Access-Set'!N13</f>
        <v>6790890</v>
      </c>
      <c r="T14" s="35">
        <f t="shared" si="2"/>
        <v>1</v>
      </c>
      <c r="U14" s="34">
        <f>'Access-Set'!O13</f>
        <v>5112462</v>
      </c>
      <c r="V14" s="35">
        <f t="shared" si="3"/>
        <v>0.75284123288700011</v>
      </c>
      <c r="W14" s="34">
        <f>'Access-Set'!P13</f>
        <v>4988639.28</v>
      </c>
      <c r="X14" s="35">
        <f t="shared" si="4"/>
        <v>0.73460758162773954</v>
      </c>
    </row>
    <row r="15" spans="1:24" ht="25.5" customHeight="1" x14ac:dyDescent="0.2">
      <c r="A15" s="31" t="str">
        <f>+'Access-Set'!A14</f>
        <v>12104</v>
      </c>
      <c r="B15" s="32" t="str">
        <f>+'Access-Set'!B14</f>
        <v>TRIBUNAL REGIONAL FEDERAL DA 3A. REGIAO</v>
      </c>
      <c r="C15" s="31" t="str">
        <f>CONCATENATE('Access-Set'!C14,".",'Access-Set'!D14)</f>
        <v>02.061</v>
      </c>
      <c r="D15" s="31" t="str">
        <f>CONCATENATE('Access-Set'!E14,".",'Access-Set'!G14)</f>
        <v>0569.4257</v>
      </c>
      <c r="E15" s="32" t="str">
        <f>+'Access-Set'!F14</f>
        <v>PRESTACAO JURISDICIONAL NA JUSTICA FEDERAL</v>
      </c>
      <c r="F15" s="32" t="str">
        <f>+'Access-Set'!H14</f>
        <v>JULGAMENTO DE CAUSAS NA JUSTICA FEDERAL</v>
      </c>
      <c r="G15" s="31" t="str">
        <f>IF('Access-Set'!I14="1","F","S")</f>
        <v>F</v>
      </c>
      <c r="H15" s="31" t="str">
        <f>+'Access-Set'!J14</f>
        <v>0150</v>
      </c>
      <c r="I15" s="32" t="str">
        <f>+'Access-Set'!K14</f>
        <v>RECURSOS NAO-FINANCEIROS DIRETAM. ARRECADADOS</v>
      </c>
      <c r="J15" s="31" t="str">
        <f>+'Access-Set'!L14</f>
        <v>3</v>
      </c>
      <c r="K15" s="50"/>
      <c r="L15" s="50"/>
      <c r="M15" s="50"/>
      <c r="N15" s="50">
        <f t="shared" si="0"/>
        <v>0</v>
      </c>
      <c r="O15" s="50"/>
      <c r="P15" s="34">
        <f>'Access-Set'!M14</f>
        <v>800000</v>
      </c>
      <c r="Q15" s="34"/>
      <c r="R15" s="34">
        <f t="shared" si="1"/>
        <v>800000</v>
      </c>
      <c r="S15" s="39">
        <f>'Access-Set'!N14</f>
        <v>0</v>
      </c>
      <c r="T15" s="35">
        <f t="shared" si="2"/>
        <v>0</v>
      </c>
      <c r="U15" s="34">
        <f>'Access-Set'!O14</f>
        <v>0</v>
      </c>
      <c r="V15" s="35">
        <f t="shared" si="3"/>
        <v>0</v>
      </c>
      <c r="W15" s="34">
        <f>'Access-Set'!P14</f>
        <v>0</v>
      </c>
      <c r="X15" s="35">
        <f t="shared" si="4"/>
        <v>0</v>
      </c>
    </row>
    <row r="16" spans="1:24" ht="25.5" customHeight="1" x14ac:dyDescent="0.2">
      <c r="A16" s="31" t="str">
        <f>+'Access-Set'!A15</f>
        <v>12104</v>
      </c>
      <c r="B16" s="32" t="str">
        <f>+'Access-Set'!B15</f>
        <v>TRIBUNAL REGIONAL FEDERAL DA 3A. REGIAO</v>
      </c>
      <c r="C16" s="31" t="str">
        <f>CONCATENATE('Access-Set'!C15,".",'Access-Set'!D15)</f>
        <v>02.061</v>
      </c>
      <c r="D16" s="31" t="str">
        <f>CONCATENATE('Access-Set'!E15,".",'Access-Set'!G15)</f>
        <v>0569.4257</v>
      </c>
      <c r="E16" s="32" t="str">
        <f>+'Access-Set'!F15</f>
        <v>PRESTACAO JURISDICIONAL NA JUSTICA FEDERAL</v>
      </c>
      <c r="F16" s="32" t="str">
        <f>+'Access-Set'!H15</f>
        <v>JULGAMENTO DE CAUSAS NA JUSTICA FEDERAL</v>
      </c>
      <c r="G16" s="31" t="str">
        <f>IF('Access-Set'!I15="1","F","S")</f>
        <v>F</v>
      </c>
      <c r="H16" s="31" t="str">
        <f>+'Access-Set'!J15</f>
        <v>0181</v>
      </c>
      <c r="I16" s="32" t="str">
        <f>+'Access-Set'!K15</f>
        <v>RECURSOS DE CONVENIOS</v>
      </c>
      <c r="J16" s="31" t="str">
        <f>+'Access-Set'!L15</f>
        <v>4</v>
      </c>
      <c r="K16" s="34"/>
      <c r="L16" s="34"/>
      <c r="M16" s="34"/>
      <c r="N16" s="50">
        <f t="shared" si="0"/>
        <v>0</v>
      </c>
      <c r="O16" s="34"/>
      <c r="P16" s="34">
        <f>'Access-Set'!M15</f>
        <v>4951378</v>
      </c>
      <c r="Q16" s="34"/>
      <c r="R16" s="34">
        <f t="shared" si="1"/>
        <v>4951378</v>
      </c>
      <c r="S16" s="39">
        <f>'Access-Set'!N15</f>
        <v>3440573</v>
      </c>
      <c r="T16" s="35">
        <f t="shared" si="2"/>
        <v>0.69487181144319821</v>
      </c>
      <c r="U16" s="34">
        <f>'Access-Set'!O15</f>
        <v>0</v>
      </c>
      <c r="V16" s="35">
        <f t="shared" si="3"/>
        <v>0</v>
      </c>
      <c r="W16" s="34">
        <f>'Access-Set'!P15</f>
        <v>0</v>
      </c>
      <c r="X16" s="35">
        <f t="shared" si="4"/>
        <v>0</v>
      </c>
    </row>
    <row r="17" spans="1:24" ht="25.5" customHeight="1" x14ac:dyDescent="0.2">
      <c r="A17" s="31" t="str">
        <f>+'Access-Set'!A16</f>
        <v>12104</v>
      </c>
      <c r="B17" s="32" t="str">
        <f>+'Access-Set'!B16</f>
        <v>TRIBUNAL REGIONAL FEDERAL DA 3A. REGIAO</v>
      </c>
      <c r="C17" s="31" t="str">
        <f>CONCATENATE('Access-Set'!C16,".",'Access-Set'!D16)</f>
        <v>02.061</v>
      </c>
      <c r="D17" s="31" t="str">
        <f>CONCATENATE('Access-Set'!E16,".",'Access-Set'!G16)</f>
        <v>0569.4257</v>
      </c>
      <c r="E17" s="32" t="str">
        <f>+'Access-Set'!F16</f>
        <v>PRESTACAO JURISDICIONAL NA JUSTICA FEDERAL</v>
      </c>
      <c r="F17" s="32" t="str">
        <f>+'Access-Set'!H16</f>
        <v>JULGAMENTO DE CAUSAS NA JUSTICA FEDERAL</v>
      </c>
      <c r="G17" s="31" t="str">
        <f>IF('Access-Set'!I16="1","F","S")</f>
        <v>F</v>
      </c>
      <c r="H17" s="31" t="str">
        <f>+'Access-Set'!J16</f>
        <v>0181</v>
      </c>
      <c r="I17" s="32" t="str">
        <f>+'Access-Set'!K16</f>
        <v>RECURSOS DE CONVENIOS</v>
      </c>
      <c r="J17" s="31" t="str">
        <f>+'Access-Set'!L16</f>
        <v>3</v>
      </c>
      <c r="K17" s="34"/>
      <c r="L17" s="34"/>
      <c r="M17" s="34"/>
      <c r="N17" s="50">
        <f t="shared" si="0"/>
        <v>0</v>
      </c>
      <c r="O17" s="34"/>
      <c r="P17" s="34">
        <f>'Access-Set'!M16</f>
        <v>175000</v>
      </c>
      <c r="Q17" s="34"/>
      <c r="R17" s="34">
        <f t="shared" si="1"/>
        <v>175000</v>
      </c>
      <c r="S17" s="39">
        <f>'Access-Set'!N16</f>
        <v>157660</v>
      </c>
      <c r="T17" s="35">
        <f t="shared" si="2"/>
        <v>0.90091428571428567</v>
      </c>
      <c r="U17" s="34">
        <f>'Access-Set'!O16</f>
        <v>0</v>
      </c>
      <c r="V17" s="35">
        <f t="shared" si="3"/>
        <v>0</v>
      </c>
      <c r="W17" s="34">
        <f>'Access-Set'!P16</f>
        <v>0</v>
      </c>
      <c r="X17" s="35">
        <f t="shared" si="4"/>
        <v>0</v>
      </c>
    </row>
    <row r="18" spans="1:24" ht="25.5" customHeight="1" x14ac:dyDescent="0.2">
      <c r="A18" s="31" t="str">
        <f>+'Access-Set'!A17</f>
        <v>12104</v>
      </c>
      <c r="B18" s="32" t="str">
        <f>+'Access-Set'!B17</f>
        <v>TRIBUNAL REGIONAL FEDERAL DA 3A. REGIAO</v>
      </c>
      <c r="C18" s="31" t="str">
        <f>CONCATENATE('Access-Set'!C17,".",'Access-Set'!D17)</f>
        <v>02.122</v>
      </c>
      <c r="D18" s="31" t="str">
        <f>CONCATENATE('Access-Set'!E17,".",'Access-Set'!G17)</f>
        <v>0569.12SU</v>
      </c>
      <c r="E18" s="32" t="str">
        <f>+'Access-Set'!F17</f>
        <v>PRESTACAO JURISDICIONAL NA JUSTICA FEDERAL</v>
      </c>
      <c r="F18" s="32" t="str">
        <f>+'Access-Set'!H17</f>
        <v>AQUISICAO DE EDIFICIO-ANEXO AO TRF 3. REGIAO EM SAO PAULO -</v>
      </c>
      <c r="G18" s="31" t="str">
        <f>IF('Access-Set'!I17="1","F","S")</f>
        <v>F</v>
      </c>
      <c r="H18" s="31" t="str">
        <f>+'Access-Set'!J17</f>
        <v>0100</v>
      </c>
      <c r="I18" s="32" t="str">
        <f>+'Access-Set'!K17</f>
        <v>RECURSOS ORDINARIOS</v>
      </c>
      <c r="J18" s="31" t="str">
        <f>+'Access-Set'!L17</f>
        <v>5</v>
      </c>
      <c r="K18" s="50"/>
      <c r="L18" s="50"/>
      <c r="M18" s="50"/>
      <c r="N18" s="50">
        <f t="shared" si="0"/>
        <v>0</v>
      </c>
      <c r="O18" s="50"/>
      <c r="P18" s="34">
        <f>'Access-Set'!M17</f>
        <v>0</v>
      </c>
      <c r="Q18" s="34"/>
      <c r="R18" s="34">
        <f t="shared" si="1"/>
        <v>0</v>
      </c>
      <c r="S18" s="39">
        <f>'Access-Set'!N17</f>
        <v>0</v>
      </c>
      <c r="T18" s="35">
        <f t="shared" si="2"/>
        <v>0</v>
      </c>
      <c r="U18" s="34">
        <f>'Access-Set'!O17</f>
        <v>0</v>
      </c>
      <c r="V18" s="35">
        <f t="shared" si="3"/>
        <v>0</v>
      </c>
      <c r="W18" s="34">
        <f>'Access-Set'!P17</f>
        <v>0</v>
      </c>
      <c r="X18" s="35">
        <f t="shared" si="4"/>
        <v>0</v>
      </c>
    </row>
    <row r="19" spans="1:24" ht="25.5" customHeight="1" x14ac:dyDescent="0.2">
      <c r="A19" s="31" t="str">
        <f>+'Access-Set'!A18</f>
        <v>12104</v>
      </c>
      <c r="B19" s="32" t="str">
        <f>+'Access-Set'!B18</f>
        <v>TRIBUNAL REGIONAL FEDERAL DA 3A. REGIAO</v>
      </c>
      <c r="C19" s="31" t="str">
        <f>CONCATENATE('Access-Set'!C18,".",'Access-Set'!D18)</f>
        <v>02.122</v>
      </c>
      <c r="D19" s="31" t="str">
        <f>CONCATENATE('Access-Set'!E18,".",'Access-Set'!G18)</f>
        <v>0569.12SU</v>
      </c>
      <c r="E19" s="32" t="str">
        <f>+'Access-Set'!F18</f>
        <v>PRESTACAO JURISDICIONAL NA JUSTICA FEDERAL</v>
      </c>
      <c r="F19" s="32" t="str">
        <f>+'Access-Set'!H18</f>
        <v>AQUISICAO DE EDIFICIO-ANEXO AO TRF 3. REGIAO EM SAO PAULO -</v>
      </c>
      <c r="G19" s="31" t="str">
        <f>IF('Access-Set'!I18="1","F","S")</f>
        <v>F</v>
      </c>
      <c r="H19" s="31" t="str">
        <f>+'Access-Set'!J18</f>
        <v>0188</v>
      </c>
      <c r="I19" s="32" t="str">
        <f>+'Access-Set'!K18</f>
        <v>REMUNERACAO DAS DISPONIB. DO TESOURO NACIONAL</v>
      </c>
      <c r="J19" s="31" t="str">
        <f>+'Access-Set'!L18</f>
        <v>5</v>
      </c>
      <c r="K19" s="50"/>
      <c r="L19" s="50"/>
      <c r="M19" s="50"/>
      <c r="N19" s="50">
        <f t="shared" si="0"/>
        <v>0</v>
      </c>
      <c r="O19" s="50"/>
      <c r="P19" s="34">
        <f>'Access-Set'!M18</f>
        <v>0</v>
      </c>
      <c r="Q19" s="34"/>
      <c r="R19" s="34">
        <f t="shared" si="1"/>
        <v>0</v>
      </c>
      <c r="S19" s="39">
        <f>'Access-Set'!N18</f>
        <v>0</v>
      </c>
      <c r="T19" s="35">
        <f t="shared" si="2"/>
        <v>0</v>
      </c>
      <c r="U19" s="34">
        <f>'Access-Set'!O18</f>
        <v>0</v>
      </c>
      <c r="V19" s="35">
        <f t="shared" si="3"/>
        <v>0</v>
      </c>
      <c r="W19" s="34">
        <f>'Access-Set'!P18</f>
        <v>0</v>
      </c>
      <c r="X19" s="35">
        <f t="shared" si="4"/>
        <v>0</v>
      </c>
    </row>
    <row r="20" spans="1:24" ht="25.5" customHeight="1" x14ac:dyDescent="0.2">
      <c r="A20" s="31" t="str">
        <f>+'Access-Set'!A19</f>
        <v>12104</v>
      </c>
      <c r="B20" s="32" t="str">
        <f>+'Access-Set'!B19</f>
        <v>TRIBUNAL REGIONAL FEDERAL DA 3A. REGIAO</v>
      </c>
      <c r="C20" s="31" t="str">
        <f>CONCATENATE('Access-Set'!C19,".",'Access-Set'!D19)</f>
        <v>02.122</v>
      </c>
      <c r="D20" s="31" t="str">
        <f>CONCATENATE('Access-Set'!E19,".",'Access-Set'!G19)</f>
        <v>0569.15HG</v>
      </c>
      <c r="E20" s="32" t="str">
        <f>+'Access-Set'!F19</f>
        <v>PRESTACAO JURISDICIONAL NA JUSTICA FEDERAL</v>
      </c>
      <c r="F20" s="32" t="str">
        <f>+'Access-Set'!H19</f>
        <v>AQUISICAO DE IMOVEIS PARA FUNCIONAMENTO DO TRF3 DA 3. REGIAO</v>
      </c>
      <c r="G20" s="31" t="str">
        <f>IF('Access-Set'!I19="1","F","S")</f>
        <v>F</v>
      </c>
      <c r="H20" s="31" t="str">
        <f>+'Access-Set'!J19</f>
        <v>0100</v>
      </c>
      <c r="I20" s="32" t="str">
        <f>+'Access-Set'!K19</f>
        <v>RECURSOS ORDINARIOS</v>
      </c>
      <c r="J20" s="31" t="str">
        <f>+'Access-Set'!L19</f>
        <v>5</v>
      </c>
      <c r="K20" s="50"/>
      <c r="L20" s="50"/>
      <c r="M20" s="50"/>
      <c r="N20" s="50">
        <f t="shared" si="0"/>
        <v>0</v>
      </c>
      <c r="O20" s="50"/>
      <c r="P20" s="34">
        <f>'Access-Set'!M19</f>
        <v>900000</v>
      </c>
      <c r="Q20" s="34"/>
      <c r="R20" s="34">
        <f t="shared" si="1"/>
        <v>900000</v>
      </c>
      <c r="S20" s="39">
        <f>'Access-Set'!N19</f>
        <v>0</v>
      </c>
      <c r="T20" s="35">
        <f t="shared" si="2"/>
        <v>0</v>
      </c>
      <c r="U20" s="34">
        <f>'Access-Set'!O19</f>
        <v>0</v>
      </c>
      <c r="V20" s="35">
        <f t="shared" si="3"/>
        <v>0</v>
      </c>
      <c r="W20" s="34">
        <f>'Access-Set'!P19</f>
        <v>0</v>
      </c>
      <c r="X20" s="35">
        <f t="shared" si="4"/>
        <v>0</v>
      </c>
    </row>
    <row r="21" spans="1:24" ht="25.5" customHeight="1" x14ac:dyDescent="0.2">
      <c r="A21" s="31" t="str">
        <f>+'Access-Set'!A20</f>
        <v>12104</v>
      </c>
      <c r="B21" s="32" t="str">
        <f>+'Access-Set'!B20</f>
        <v>TRIBUNAL REGIONAL FEDERAL DA 3A. REGIAO</v>
      </c>
      <c r="C21" s="31" t="str">
        <f>CONCATENATE('Access-Set'!C20,".",'Access-Set'!D20)</f>
        <v>02.122</v>
      </c>
      <c r="D21" s="31" t="str">
        <f>CONCATENATE('Access-Set'!E20,".",'Access-Set'!G20)</f>
        <v>0569.15HG</v>
      </c>
      <c r="E21" s="32" t="str">
        <f>+'Access-Set'!F20</f>
        <v>PRESTACAO JURISDICIONAL NA JUSTICA FEDERAL</v>
      </c>
      <c r="F21" s="32" t="str">
        <f>+'Access-Set'!H20</f>
        <v>AQUISICAO DE IMOVEIS PARA FUNCIONAMENTO DO TRF3 DA 3. REGIAO</v>
      </c>
      <c r="G21" s="31" t="str">
        <f>IF('Access-Set'!I20="1","F","S")</f>
        <v>F</v>
      </c>
      <c r="H21" s="31" t="str">
        <f>+'Access-Set'!J20</f>
        <v>0181</v>
      </c>
      <c r="I21" s="32" t="str">
        <f>+'Access-Set'!K20</f>
        <v>RECURSOS DE CONVENIOS</v>
      </c>
      <c r="J21" s="31" t="str">
        <f>+'Access-Set'!L20</f>
        <v>5</v>
      </c>
      <c r="K21" s="50"/>
      <c r="L21" s="50"/>
      <c r="M21" s="50"/>
      <c r="N21" s="50">
        <f t="shared" si="0"/>
        <v>0</v>
      </c>
      <c r="O21" s="50"/>
      <c r="P21" s="34">
        <f>'Access-Set'!M20</f>
        <v>9000000</v>
      </c>
      <c r="Q21" s="34"/>
      <c r="R21" s="34">
        <f t="shared" si="1"/>
        <v>9000000</v>
      </c>
      <c r="S21" s="39">
        <f>'Access-Set'!N20</f>
        <v>0</v>
      </c>
      <c r="T21" s="35">
        <f t="shared" si="2"/>
        <v>0</v>
      </c>
      <c r="U21" s="34">
        <f>'Access-Set'!O20</f>
        <v>0</v>
      </c>
      <c r="V21" s="35">
        <f t="shared" si="3"/>
        <v>0</v>
      </c>
      <c r="W21" s="34">
        <f>'Access-Set'!P20</f>
        <v>0</v>
      </c>
      <c r="X21" s="35">
        <f t="shared" si="4"/>
        <v>0</v>
      </c>
    </row>
    <row r="22" spans="1:24" ht="25.5" customHeight="1" x14ac:dyDescent="0.2">
      <c r="A22" s="31" t="str">
        <f>+'Access-Set'!A21</f>
        <v>12104</v>
      </c>
      <c r="B22" s="32" t="str">
        <f>+'Access-Set'!B21</f>
        <v>TRIBUNAL REGIONAL FEDERAL DA 3A. REGIAO</v>
      </c>
      <c r="C22" s="31" t="str">
        <f>CONCATENATE('Access-Set'!C21,".",'Access-Set'!D21)</f>
        <v>02.122</v>
      </c>
      <c r="D22" s="31" t="str">
        <f>CONCATENATE('Access-Set'!E21,".",'Access-Set'!G21)</f>
        <v>0569.15NZ</v>
      </c>
      <c r="E22" s="32" t="str">
        <f>+'Access-Set'!F21</f>
        <v>PRESTACAO JURISDICIONAL NA JUSTICA FEDERAL</v>
      </c>
      <c r="F22" s="32" t="str">
        <f>+'Access-Set'!H21</f>
        <v>REFORMA DO EDIFICIO-SEDE DO TRIBUNAL REGIONAL FEDERAL DA 3.</v>
      </c>
      <c r="G22" s="31" t="str">
        <f>IF('Access-Set'!I21="1","F","S")</f>
        <v>F</v>
      </c>
      <c r="H22" s="31" t="str">
        <f>+'Access-Set'!J21</f>
        <v>0100</v>
      </c>
      <c r="I22" s="32" t="str">
        <f>+'Access-Set'!K21</f>
        <v>RECURSOS ORDINARIOS</v>
      </c>
      <c r="J22" s="31" t="str">
        <f>+'Access-Set'!L21</f>
        <v>4</v>
      </c>
      <c r="K22" s="50"/>
      <c r="L22" s="50"/>
      <c r="M22" s="50"/>
      <c r="N22" s="50">
        <f t="shared" si="0"/>
        <v>0</v>
      </c>
      <c r="O22" s="50"/>
      <c r="P22" s="34">
        <f>'Access-Set'!M21</f>
        <v>0</v>
      </c>
      <c r="Q22" s="34"/>
      <c r="R22" s="34">
        <f t="shared" si="1"/>
        <v>0</v>
      </c>
      <c r="S22" s="39">
        <f>'Access-Set'!N21</f>
        <v>0</v>
      </c>
      <c r="T22" s="35">
        <f t="shared" si="2"/>
        <v>0</v>
      </c>
      <c r="U22" s="34">
        <f>'Access-Set'!O21</f>
        <v>0</v>
      </c>
      <c r="V22" s="35">
        <f t="shared" si="3"/>
        <v>0</v>
      </c>
      <c r="W22" s="34">
        <f>'Access-Set'!P21</f>
        <v>0</v>
      </c>
      <c r="X22" s="35">
        <f t="shared" si="4"/>
        <v>0</v>
      </c>
    </row>
    <row r="23" spans="1:24" ht="25.5" customHeight="1" x14ac:dyDescent="0.2">
      <c r="A23" s="31" t="str">
        <f>+'Access-Set'!A22</f>
        <v>12104</v>
      </c>
      <c r="B23" s="32" t="str">
        <f>+'Access-Set'!B22</f>
        <v>TRIBUNAL REGIONAL FEDERAL DA 3A. REGIAO</v>
      </c>
      <c r="C23" s="31" t="str">
        <f>CONCATENATE('Access-Set'!C22,".",'Access-Set'!D22)</f>
        <v>02.122</v>
      </c>
      <c r="D23" s="31" t="str">
        <f>CONCATENATE('Access-Set'!E22,".",'Access-Set'!G22)</f>
        <v>0569.20TP</v>
      </c>
      <c r="E23" s="32" t="str">
        <f>+'Access-Set'!F22</f>
        <v>PRESTACAO JURISDICIONAL NA JUSTICA FEDERAL</v>
      </c>
      <c r="F23" s="32" t="str">
        <f>+'Access-Set'!H22</f>
        <v>PESSOAL ATIVO DA UNIAO</v>
      </c>
      <c r="G23" s="31" t="str">
        <f>IF('Access-Set'!I22="1","F","S")</f>
        <v>F</v>
      </c>
      <c r="H23" s="31" t="str">
        <f>+'Access-Set'!J22</f>
        <v>0100</v>
      </c>
      <c r="I23" s="32" t="str">
        <f>+'Access-Set'!K22</f>
        <v>RECURSOS ORDINARIOS</v>
      </c>
      <c r="J23" s="31" t="str">
        <f>+'Access-Set'!L22</f>
        <v>1</v>
      </c>
      <c r="K23" s="50"/>
      <c r="L23" s="50"/>
      <c r="M23" s="50"/>
      <c r="N23" s="50">
        <f t="shared" si="0"/>
        <v>0</v>
      </c>
      <c r="O23" s="50"/>
      <c r="P23" s="34">
        <f>'Access-Set'!M22</f>
        <v>275016182.05000001</v>
      </c>
      <c r="Q23" s="34"/>
      <c r="R23" s="34">
        <f t="shared" si="1"/>
        <v>275016182.05000001</v>
      </c>
      <c r="S23" s="39">
        <f>'Access-Set'!N22</f>
        <v>272701198.19</v>
      </c>
      <c r="T23" s="35">
        <f t="shared" si="2"/>
        <v>0.99158237219808709</v>
      </c>
      <c r="U23" s="34">
        <f>'Access-Set'!O22</f>
        <v>272694012.35000002</v>
      </c>
      <c r="V23" s="35">
        <f t="shared" si="3"/>
        <v>0.99155624340833226</v>
      </c>
      <c r="W23" s="34">
        <f>'Access-Set'!P22</f>
        <v>270960113.51999998</v>
      </c>
      <c r="X23" s="35">
        <f t="shared" si="4"/>
        <v>0.98525152774732871</v>
      </c>
    </row>
    <row r="24" spans="1:24" ht="25.5" customHeight="1" x14ac:dyDescent="0.2">
      <c r="A24" s="31" t="str">
        <f>+'Access-Set'!A23</f>
        <v>12104</v>
      </c>
      <c r="B24" s="32" t="str">
        <f>+'Access-Set'!B23</f>
        <v>TRIBUNAL REGIONAL FEDERAL DA 3A. REGIAO</v>
      </c>
      <c r="C24" s="31" t="str">
        <f>CONCATENATE('Access-Set'!C23,".",'Access-Set'!D23)</f>
        <v>02.122</v>
      </c>
      <c r="D24" s="31" t="str">
        <f>CONCATENATE('Access-Set'!E23,".",'Access-Set'!G23)</f>
        <v>0569.216H</v>
      </c>
      <c r="E24" s="32" t="str">
        <f>+'Access-Set'!F23</f>
        <v>PRESTACAO JURISDICIONAL NA JUSTICA FEDERAL</v>
      </c>
      <c r="F24" s="32" t="str">
        <f>+'Access-Set'!H23</f>
        <v>AJUDA DE CUSTO PARA MORADIA OU AUXILIO-MORADIA A AGENTES PUB</v>
      </c>
      <c r="G24" s="31" t="str">
        <f>IF('Access-Set'!I23="1","F","S")</f>
        <v>F</v>
      </c>
      <c r="H24" s="31" t="str">
        <f>+'Access-Set'!J23</f>
        <v>0100</v>
      </c>
      <c r="I24" s="32" t="str">
        <f>+'Access-Set'!K23</f>
        <v>RECURSOS ORDINARIOS</v>
      </c>
      <c r="J24" s="31" t="str">
        <f>+'Access-Set'!L23</f>
        <v>3</v>
      </c>
      <c r="K24" s="50"/>
      <c r="L24" s="50"/>
      <c r="M24" s="50"/>
      <c r="N24" s="50">
        <f t="shared" si="0"/>
        <v>0</v>
      </c>
      <c r="O24" s="50"/>
      <c r="P24" s="34">
        <f>'Access-Set'!M23</f>
        <v>2303742</v>
      </c>
      <c r="Q24" s="34"/>
      <c r="R24" s="34">
        <f t="shared" si="1"/>
        <v>2303742</v>
      </c>
      <c r="S24" s="39">
        <f>'Access-Set'!N23</f>
        <v>1724468.03</v>
      </c>
      <c r="T24" s="35">
        <f t="shared" si="2"/>
        <v>0.74855084901000202</v>
      </c>
      <c r="U24" s="34">
        <f>'Access-Set'!O23</f>
        <v>1724468.03</v>
      </c>
      <c r="V24" s="35">
        <f t="shared" si="3"/>
        <v>0.74855084901000202</v>
      </c>
      <c r="W24" s="34">
        <f>'Access-Set'!P23</f>
        <v>1724468.03</v>
      </c>
      <c r="X24" s="35">
        <f t="shared" si="4"/>
        <v>0.74855084901000202</v>
      </c>
    </row>
    <row r="25" spans="1:24" ht="25.5" customHeight="1" x14ac:dyDescent="0.2">
      <c r="A25" s="31" t="str">
        <f>+'Access-Set'!A24</f>
        <v>12104</v>
      </c>
      <c r="B25" s="32" t="str">
        <f>+'Access-Set'!B24</f>
        <v>TRIBUNAL REGIONAL FEDERAL DA 3A. REGIAO</v>
      </c>
      <c r="C25" s="31" t="str">
        <f>CONCATENATE('Access-Set'!C24,".",'Access-Set'!D24)</f>
        <v>02.126</v>
      </c>
      <c r="D25" s="31" t="str">
        <f>CONCATENATE('Access-Set'!E24,".",'Access-Set'!G24)</f>
        <v>0569.151W</v>
      </c>
      <c r="E25" s="32" t="str">
        <f>+'Access-Set'!F24</f>
        <v>PRESTACAO JURISDICIONAL NA JUSTICA FEDERAL</v>
      </c>
      <c r="F25" s="32" t="str">
        <f>+'Access-Set'!H24</f>
        <v>DESENVOLVIMENTO E IMPLANTACAO DO SISTEMA PROCESSO JUDICIAL E</v>
      </c>
      <c r="G25" s="31" t="str">
        <f>IF('Access-Set'!I24="1","F","S")</f>
        <v>F</v>
      </c>
      <c r="H25" s="31" t="str">
        <f>+'Access-Set'!J24</f>
        <v>0100</v>
      </c>
      <c r="I25" s="32" t="str">
        <f>+'Access-Set'!K24</f>
        <v>RECURSOS ORDINARIOS</v>
      </c>
      <c r="J25" s="31" t="str">
        <f>+'Access-Set'!L24</f>
        <v>3</v>
      </c>
      <c r="K25" s="50"/>
      <c r="L25" s="50"/>
      <c r="M25" s="50"/>
      <c r="N25" s="50">
        <f t="shared" si="0"/>
        <v>0</v>
      </c>
      <c r="O25" s="50"/>
      <c r="P25" s="34">
        <f>'Access-Set'!M24</f>
        <v>850997</v>
      </c>
      <c r="Q25" s="34"/>
      <c r="R25" s="34">
        <f t="shared" si="1"/>
        <v>850997</v>
      </c>
      <c r="S25" s="39">
        <f>'Access-Set'!N24</f>
        <v>623888.19999999995</v>
      </c>
      <c r="T25" s="35">
        <f t="shared" si="2"/>
        <v>0.73312620373514825</v>
      </c>
      <c r="U25" s="34">
        <f>'Access-Set'!O24</f>
        <v>497100.47</v>
      </c>
      <c r="V25" s="35">
        <f t="shared" si="3"/>
        <v>0.58413892175883109</v>
      </c>
      <c r="W25" s="34">
        <f>'Access-Set'!P24</f>
        <v>494848.3</v>
      </c>
      <c r="X25" s="35">
        <f t="shared" si="4"/>
        <v>0.5814924141918244</v>
      </c>
    </row>
    <row r="26" spans="1:24" ht="25.5" customHeight="1" x14ac:dyDescent="0.2">
      <c r="A26" s="31" t="str">
        <f>+'Access-Set'!A25</f>
        <v>12104</v>
      </c>
      <c r="B26" s="32" t="str">
        <f>+'Access-Set'!B25</f>
        <v>TRIBUNAL REGIONAL FEDERAL DA 3A. REGIAO</v>
      </c>
      <c r="C26" s="31" t="str">
        <f>CONCATENATE('Access-Set'!C25,".",'Access-Set'!D25)</f>
        <v>02.131</v>
      </c>
      <c r="D26" s="31" t="str">
        <f>CONCATENATE('Access-Set'!E25,".",'Access-Set'!G25)</f>
        <v>0569.2549</v>
      </c>
      <c r="E26" s="32" t="str">
        <f>+'Access-Set'!F25</f>
        <v>PRESTACAO JURISDICIONAL NA JUSTICA FEDERAL</v>
      </c>
      <c r="F26" s="32" t="str">
        <f>+'Access-Set'!H25</f>
        <v>COMUNICACAO E DIVULGACAO INSTITUCIONAL</v>
      </c>
      <c r="G26" s="31" t="str">
        <f>IF('Access-Set'!I25="1","F","S")</f>
        <v>F</v>
      </c>
      <c r="H26" s="31" t="str">
        <f>+'Access-Set'!J25</f>
        <v>0100</v>
      </c>
      <c r="I26" s="32" t="str">
        <f>+'Access-Set'!K25</f>
        <v>RECURSOS ORDINARIOS</v>
      </c>
      <c r="J26" s="31" t="str">
        <f>+'Access-Set'!L25</f>
        <v>3</v>
      </c>
      <c r="K26" s="50"/>
      <c r="L26" s="50"/>
      <c r="M26" s="50"/>
      <c r="N26" s="50">
        <f t="shared" si="0"/>
        <v>0</v>
      </c>
      <c r="O26" s="50"/>
      <c r="P26" s="34">
        <f>'Access-Set'!M25</f>
        <v>517525</v>
      </c>
      <c r="Q26" s="34"/>
      <c r="R26" s="34">
        <f t="shared" si="1"/>
        <v>517525</v>
      </c>
      <c r="S26" s="39">
        <f>'Access-Set'!N25</f>
        <v>420233</v>
      </c>
      <c r="T26" s="35">
        <f t="shared" si="2"/>
        <v>0.81200521713926865</v>
      </c>
      <c r="U26" s="34">
        <f>'Access-Set'!O25</f>
        <v>321328.55</v>
      </c>
      <c r="V26" s="35">
        <f t="shared" si="3"/>
        <v>0.62089473938457074</v>
      </c>
      <c r="W26" s="34">
        <f>'Access-Set'!P25</f>
        <v>280915.90999999997</v>
      </c>
      <c r="X26" s="35">
        <f t="shared" si="4"/>
        <v>0.54280645379450265</v>
      </c>
    </row>
    <row r="27" spans="1:24" ht="25.5" customHeight="1" x14ac:dyDescent="0.2">
      <c r="A27" s="31" t="str">
        <f>+'Access-Set'!A26</f>
        <v>12104</v>
      </c>
      <c r="B27" s="32" t="str">
        <f>+'Access-Set'!B26</f>
        <v>TRIBUNAL REGIONAL FEDERAL DA 3A. REGIAO</v>
      </c>
      <c r="C27" s="31" t="str">
        <f>CONCATENATE('Access-Set'!C26,".",'Access-Set'!D26)</f>
        <v>02.301</v>
      </c>
      <c r="D27" s="31" t="str">
        <f>CONCATENATE('Access-Set'!E26,".",'Access-Set'!G26)</f>
        <v>0569.2004</v>
      </c>
      <c r="E27" s="32" t="str">
        <f>+'Access-Set'!F26</f>
        <v>PRESTACAO JURISDICIONAL NA JUSTICA FEDERAL</v>
      </c>
      <c r="F27" s="32" t="str">
        <f>+'Access-Set'!H26</f>
        <v>ASSISTENCIA MEDICA E ODONTOLOGICA AOS SERVIDORES CIVIS, EMPR</v>
      </c>
      <c r="G27" s="31" t="str">
        <f>IF('Access-Set'!I26="1","F","S")</f>
        <v>S</v>
      </c>
      <c r="H27" s="31" t="str">
        <f>+'Access-Set'!J26</f>
        <v>0100</v>
      </c>
      <c r="I27" s="32" t="str">
        <f>+'Access-Set'!K26</f>
        <v>RECURSOS ORDINARIOS</v>
      </c>
      <c r="J27" s="31" t="str">
        <f>+'Access-Set'!L26</f>
        <v>4</v>
      </c>
      <c r="K27" s="50"/>
      <c r="L27" s="50"/>
      <c r="M27" s="50"/>
      <c r="N27" s="50">
        <f t="shared" si="0"/>
        <v>0</v>
      </c>
      <c r="O27" s="50"/>
      <c r="P27" s="34">
        <f>'Access-Set'!M26</f>
        <v>15000</v>
      </c>
      <c r="Q27" s="34"/>
      <c r="R27" s="34">
        <f t="shared" si="1"/>
        <v>15000</v>
      </c>
      <c r="S27" s="39">
        <f>'Access-Set'!N26</f>
        <v>0</v>
      </c>
      <c r="T27" s="35">
        <f t="shared" si="2"/>
        <v>0</v>
      </c>
      <c r="U27" s="34">
        <f>'Access-Set'!O26</f>
        <v>0</v>
      </c>
      <c r="V27" s="35">
        <f t="shared" si="3"/>
        <v>0</v>
      </c>
      <c r="W27" s="34">
        <f>'Access-Set'!P26</f>
        <v>0</v>
      </c>
      <c r="X27" s="35">
        <f t="shared" si="4"/>
        <v>0</v>
      </c>
    </row>
    <row r="28" spans="1:24" ht="25.5" customHeight="1" x14ac:dyDescent="0.2">
      <c r="A28" s="31" t="str">
        <f>+'Access-Set'!A27</f>
        <v>12104</v>
      </c>
      <c r="B28" s="32" t="str">
        <f>+'Access-Set'!B27</f>
        <v>TRIBUNAL REGIONAL FEDERAL DA 3A. REGIAO</v>
      </c>
      <c r="C28" s="31" t="str">
        <f>CONCATENATE('Access-Set'!C27,".",'Access-Set'!D27)</f>
        <v>02.301</v>
      </c>
      <c r="D28" s="31" t="str">
        <f>CONCATENATE('Access-Set'!E27,".",'Access-Set'!G27)</f>
        <v>0569.2004</v>
      </c>
      <c r="E28" s="32" t="str">
        <f>+'Access-Set'!F27</f>
        <v>PRESTACAO JURISDICIONAL NA JUSTICA FEDERAL</v>
      </c>
      <c r="F28" s="32" t="str">
        <f>+'Access-Set'!H27</f>
        <v>ASSISTENCIA MEDICA E ODONTOLOGICA AOS SERVIDORES CIVIS, EMPR</v>
      </c>
      <c r="G28" s="31" t="str">
        <f>IF('Access-Set'!I27="1","F","S")</f>
        <v>S</v>
      </c>
      <c r="H28" s="31" t="str">
        <f>+'Access-Set'!J27</f>
        <v>0100</v>
      </c>
      <c r="I28" s="32" t="str">
        <f>+'Access-Set'!K27</f>
        <v>RECURSOS ORDINARIOS</v>
      </c>
      <c r="J28" s="31" t="str">
        <f>+'Access-Set'!L27</f>
        <v>3</v>
      </c>
      <c r="K28" s="50"/>
      <c r="L28" s="50"/>
      <c r="M28" s="50"/>
      <c r="N28" s="50">
        <f t="shared" si="0"/>
        <v>0</v>
      </c>
      <c r="O28" s="50"/>
      <c r="P28" s="34">
        <f>'Access-Set'!M27</f>
        <v>11979420</v>
      </c>
      <c r="Q28" s="34"/>
      <c r="R28" s="34">
        <f t="shared" si="1"/>
        <v>11979420</v>
      </c>
      <c r="S28" s="34">
        <f>'Access-Set'!N27</f>
        <v>11891956.560000001</v>
      </c>
      <c r="T28" s="35">
        <f t="shared" si="2"/>
        <v>0.99269885854240025</v>
      </c>
      <c r="U28" s="34">
        <f>'Access-Set'!O27</f>
        <v>8057054.96</v>
      </c>
      <c r="V28" s="35">
        <f t="shared" si="3"/>
        <v>0.67257471229825816</v>
      </c>
      <c r="W28" s="34">
        <f>'Access-Set'!P27</f>
        <v>8057054.96</v>
      </c>
      <c r="X28" s="35">
        <f t="shared" si="4"/>
        <v>0.67257471229825816</v>
      </c>
    </row>
    <row r="29" spans="1:24" ht="25.5" customHeight="1" x14ac:dyDescent="0.2">
      <c r="A29" s="31" t="str">
        <f>+'Access-Set'!A28</f>
        <v>12104</v>
      </c>
      <c r="B29" s="32" t="str">
        <f>+'Access-Set'!B28</f>
        <v>TRIBUNAL REGIONAL FEDERAL DA 3A. REGIAO</v>
      </c>
      <c r="C29" s="31" t="str">
        <f>CONCATENATE('Access-Set'!C28,".",'Access-Set'!D28)</f>
        <v>02.331</v>
      </c>
      <c r="D29" s="31" t="str">
        <f>CONCATENATE('Access-Set'!E28,".",'Access-Set'!G28)</f>
        <v>0569.00M1</v>
      </c>
      <c r="E29" s="32" t="str">
        <f>+'Access-Set'!F28</f>
        <v>PRESTACAO JURISDICIONAL NA JUSTICA FEDERAL</v>
      </c>
      <c r="F29" s="32" t="str">
        <f>+'Access-Set'!H28</f>
        <v>BENEFICIOS ASSISTENCIAIS DECORRENTES DO AUXILIO-FUNERAL E NA</v>
      </c>
      <c r="G29" s="31" t="str">
        <f>IF('Access-Set'!I28="1","F","S")</f>
        <v>F</v>
      </c>
      <c r="H29" s="31" t="str">
        <f>+'Access-Set'!J28</f>
        <v>0100</v>
      </c>
      <c r="I29" s="32" t="str">
        <f>+'Access-Set'!K28</f>
        <v>RECURSOS ORDINARIOS</v>
      </c>
      <c r="J29" s="31" t="str">
        <f>+'Access-Set'!L28</f>
        <v>3</v>
      </c>
      <c r="K29" s="50"/>
      <c r="L29" s="50"/>
      <c r="M29" s="50"/>
      <c r="N29" s="50">
        <f t="shared" si="0"/>
        <v>0</v>
      </c>
      <c r="O29" s="50"/>
      <c r="P29" s="34">
        <f>'Access-Set'!M28</f>
        <v>62416.57</v>
      </c>
      <c r="Q29" s="34"/>
      <c r="R29" s="34">
        <f t="shared" si="1"/>
        <v>62416.57</v>
      </c>
      <c r="S29" s="34">
        <f>'Access-Set'!N28</f>
        <v>62416.57</v>
      </c>
      <c r="T29" s="35">
        <f t="shared" si="2"/>
        <v>1</v>
      </c>
      <c r="U29" s="34">
        <f>'Access-Set'!O28</f>
        <v>62416.57</v>
      </c>
      <c r="V29" s="35">
        <f t="shared" si="3"/>
        <v>1</v>
      </c>
      <c r="W29" s="34">
        <f>'Access-Set'!P28</f>
        <v>62416.57</v>
      </c>
      <c r="X29" s="35">
        <f t="shared" si="4"/>
        <v>1</v>
      </c>
    </row>
    <row r="30" spans="1:24" ht="25.5" customHeight="1" x14ac:dyDescent="0.2">
      <c r="A30" s="31" t="str">
        <f>+'Access-Set'!A29</f>
        <v>12104</v>
      </c>
      <c r="B30" s="32" t="str">
        <f>+'Access-Set'!B29</f>
        <v>TRIBUNAL REGIONAL FEDERAL DA 3A. REGIAO</v>
      </c>
      <c r="C30" s="31" t="str">
        <f>CONCATENATE('Access-Set'!C29,".",'Access-Set'!D29)</f>
        <v>02.331</v>
      </c>
      <c r="D30" s="31" t="str">
        <f>CONCATENATE('Access-Set'!E29,".",'Access-Set'!G29)</f>
        <v>0569.2010</v>
      </c>
      <c r="E30" s="32" t="str">
        <f>+'Access-Set'!F29</f>
        <v>PRESTACAO JURISDICIONAL NA JUSTICA FEDERAL</v>
      </c>
      <c r="F30" s="32" t="str">
        <f>+'Access-Set'!H29</f>
        <v>ASSISTENCIA PRE-ESCOLAR AOS DEPENDENTES DOS SERVIDORES CIVIS</v>
      </c>
      <c r="G30" s="31" t="str">
        <f>IF('Access-Set'!I29="1","F","S")</f>
        <v>F</v>
      </c>
      <c r="H30" s="31" t="str">
        <f>+'Access-Set'!J29</f>
        <v>0100</v>
      </c>
      <c r="I30" s="32" t="str">
        <f>+'Access-Set'!K29</f>
        <v>RECURSOS ORDINARIOS</v>
      </c>
      <c r="J30" s="31" t="str">
        <f>+'Access-Set'!L29</f>
        <v>3</v>
      </c>
      <c r="K30" s="50"/>
      <c r="L30" s="50"/>
      <c r="M30" s="50"/>
      <c r="N30" s="50">
        <f t="shared" si="0"/>
        <v>0</v>
      </c>
      <c r="O30" s="50"/>
      <c r="P30" s="34">
        <f>'Access-Set'!M29</f>
        <v>2135448</v>
      </c>
      <c r="Q30" s="34"/>
      <c r="R30" s="34">
        <f t="shared" si="1"/>
        <v>2135448</v>
      </c>
      <c r="S30" s="34">
        <f>'Access-Set'!N29</f>
        <v>2135448</v>
      </c>
      <c r="T30" s="35">
        <f t="shared" si="2"/>
        <v>1</v>
      </c>
      <c r="U30" s="34">
        <f>'Access-Set'!O29</f>
        <v>1597914</v>
      </c>
      <c r="V30" s="35">
        <f t="shared" si="3"/>
        <v>0.74828045449947744</v>
      </c>
      <c r="W30" s="34">
        <f>'Access-Set'!P29</f>
        <v>1597914</v>
      </c>
      <c r="X30" s="35">
        <f t="shared" si="4"/>
        <v>0.74828045449947744</v>
      </c>
    </row>
    <row r="31" spans="1:24" ht="25.5" customHeight="1" x14ac:dyDescent="0.2">
      <c r="A31" s="31" t="str">
        <f>+'Access-Set'!A30</f>
        <v>12104</v>
      </c>
      <c r="B31" s="32" t="str">
        <f>+'Access-Set'!B30</f>
        <v>TRIBUNAL REGIONAL FEDERAL DA 3A. REGIAO</v>
      </c>
      <c r="C31" s="31" t="str">
        <f>CONCATENATE('Access-Set'!C30,".",'Access-Set'!D30)</f>
        <v>02.331</v>
      </c>
      <c r="D31" s="31" t="str">
        <f>CONCATENATE('Access-Set'!E30,".",'Access-Set'!G30)</f>
        <v>0569.2011</v>
      </c>
      <c r="E31" s="32" t="str">
        <f>+'Access-Set'!F30</f>
        <v>PRESTACAO JURISDICIONAL NA JUSTICA FEDERAL</v>
      </c>
      <c r="F31" s="32" t="str">
        <f>+'Access-Set'!H30</f>
        <v>AUXILIO-TRANSPORTE AOS SERVIDORES CIVIS, EMPREGADOS E MILITA</v>
      </c>
      <c r="G31" s="31" t="str">
        <f>IF('Access-Set'!I30="1","F","S")</f>
        <v>F</v>
      </c>
      <c r="H31" s="31" t="str">
        <f>+'Access-Set'!J30</f>
        <v>0100</v>
      </c>
      <c r="I31" s="32" t="str">
        <f>+'Access-Set'!K30</f>
        <v>RECURSOS ORDINARIOS</v>
      </c>
      <c r="J31" s="31" t="str">
        <f>+'Access-Set'!L30</f>
        <v>3</v>
      </c>
      <c r="K31" s="50"/>
      <c r="L31" s="50"/>
      <c r="M31" s="50"/>
      <c r="N31" s="50">
        <f t="shared" ref="N31:N35" si="5">+K31+L31-M31</f>
        <v>0</v>
      </c>
      <c r="O31" s="50"/>
      <c r="P31" s="34">
        <f>'Access-Set'!M30</f>
        <v>1271000</v>
      </c>
      <c r="Q31" s="34"/>
      <c r="R31" s="34">
        <f t="shared" ref="R31:R35" si="6">N31-O31+P31</f>
        <v>1271000</v>
      </c>
      <c r="S31" s="34">
        <f>'Access-Set'!N30</f>
        <v>1271000</v>
      </c>
      <c r="T31" s="35">
        <f t="shared" ref="T31:T35" si="7">IF(R31&gt;0,S31/R31,0)</f>
        <v>1</v>
      </c>
      <c r="U31" s="34">
        <f>'Access-Set'!O30</f>
        <v>773189.24</v>
      </c>
      <c r="V31" s="35">
        <f t="shared" ref="V31:V35" si="8">IF(R31&gt;0,U31/R31,0)</f>
        <v>0.60833142407553109</v>
      </c>
      <c r="W31" s="34">
        <f>'Access-Set'!P30</f>
        <v>773189.24</v>
      </c>
      <c r="X31" s="35">
        <f t="shared" ref="X31:X35" si="9">IF(R31&gt;0,W31/R31,0)</f>
        <v>0.60833142407553109</v>
      </c>
    </row>
    <row r="32" spans="1:24" ht="25.5" customHeight="1" x14ac:dyDescent="0.2">
      <c r="A32" s="31" t="str">
        <f>+'Access-Set'!A31</f>
        <v>12104</v>
      </c>
      <c r="B32" s="32" t="str">
        <f>+'Access-Set'!B31</f>
        <v>TRIBUNAL REGIONAL FEDERAL DA 3A. REGIAO</v>
      </c>
      <c r="C32" s="31" t="str">
        <f>CONCATENATE('Access-Set'!C31,".",'Access-Set'!D31)</f>
        <v>02.331</v>
      </c>
      <c r="D32" s="31" t="str">
        <f>CONCATENATE('Access-Set'!E31,".",'Access-Set'!G31)</f>
        <v>0569.2012</v>
      </c>
      <c r="E32" s="32" t="str">
        <f>+'Access-Set'!F31</f>
        <v>PRESTACAO JURISDICIONAL NA JUSTICA FEDERAL</v>
      </c>
      <c r="F32" s="32" t="str">
        <f>+'Access-Set'!H31</f>
        <v>AUXILIO-ALIMENTACAO AOS SERVIDORES CIVIS, EMPREGADOS E MILIT</v>
      </c>
      <c r="G32" s="31" t="str">
        <f>IF('Access-Set'!I31="1","F","S")</f>
        <v>F</v>
      </c>
      <c r="H32" s="31" t="str">
        <f>+'Access-Set'!J31</f>
        <v>0100</v>
      </c>
      <c r="I32" s="32" t="str">
        <f>+'Access-Set'!K31</f>
        <v>RECURSOS ORDINARIOS</v>
      </c>
      <c r="J32" s="31" t="str">
        <f>+'Access-Set'!L31</f>
        <v>3</v>
      </c>
      <c r="K32" s="50"/>
      <c r="L32" s="50"/>
      <c r="M32" s="50"/>
      <c r="N32" s="50">
        <f t="shared" si="5"/>
        <v>0</v>
      </c>
      <c r="O32" s="50"/>
      <c r="P32" s="34">
        <f>'Access-Set'!M31</f>
        <v>19565248</v>
      </c>
      <c r="Q32" s="34"/>
      <c r="R32" s="34">
        <f t="shared" si="6"/>
        <v>19565248</v>
      </c>
      <c r="S32" s="34">
        <f>'Access-Set'!N31</f>
        <v>19565248</v>
      </c>
      <c r="T32" s="35">
        <f t="shared" si="7"/>
        <v>1</v>
      </c>
      <c r="U32" s="34">
        <f>'Access-Set'!O31</f>
        <v>14535968.890000001</v>
      </c>
      <c r="V32" s="35">
        <f t="shared" si="8"/>
        <v>0.74294835874301213</v>
      </c>
      <c r="W32" s="34">
        <f>'Access-Set'!P31</f>
        <v>14535968.890000001</v>
      </c>
      <c r="X32" s="35">
        <f t="shared" si="9"/>
        <v>0.74294835874301213</v>
      </c>
    </row>
    <row r="33" spans="1:24" ht="25.5" customHeight="1" x14ac:dyDescent="0.2">
      <c r="A33" s="31" t="str">
        <f>+'Access-Set'!A32</f>
        <v>12104</v>
      </c>
      <c r="B33" s="32" t="str">
        <f>+'Access-Set'!B32</f>
        <v>TRIBUNAL REGIONAL FEDERAL DA 3A. REGIAO</v>
      </c>
      <c r="C33" s="31" t="str">
        <f>CONCATENATE('Access-Set'!C32,".",'Access-Set'!D32)</f>
        <v>02.846</v>
      </c>
      <c r="D33" s="31" t="str">
        <f>CONCATENATE('Access-Set'!E32,".",'Access-Set'!G32)</f>
        <v>0569.09HB</v>
      </c>
      <c r="E33" s="32" t="str">
        <f>+'Access-Set'!F32</f>
        <v>PRESTACAO JURISDICIONAL NA JUSTICA FEDERAL</v>
      </c>
      <c r="F33" s="32" t="str">
        <f>+'Access-Set'!H32</f>
        <v>CONTRIBUICAO DA UNIAO, DE SUAS AUTARQUIAS E FUNDACOES PARA O</v>
      </c>
      <c r="G33" s="31" t="str">
        <f>IF('Access-Set'!I32="1","F","S")</f>
        <v>F</v>
      </c>
      <c r="H33" s="31" t="str">
        <f>+'Access-Set'!J32</f>
        <v>0100</v>
      </c>
      <c r="I33" s="32" t="str">
        <f>+'Access-Set'!K32</f>
        <v>RECURSOS ORDINARIOS</v>
      </c>
      <c r="J33" s="31" t="str">
        <f>+'Access-Set'!L32</f>
        <v>1</v>
      </c>
      <c r="K33" s="50"/>
      <c r="L33" s="50"/>
      <c r="M33" s="50"/>
      <c r="N33" s="50">
        <f t="shared" si="5"/>
        <v>0</v>
      </c>
      <c r="O33" s="50"/>
      <c r="P33" s="34">
        <f>'Access-Set'!M32</f>
        <v>45463442.210000001</v>
      </c>
      <c r="Q33" s="34"/>
      <c r="R33" s="34">
        <f t="shared" si="6"/>
        <v>45463442.210000001</v>
      </c>
      <c r="S33" s="34">
        <f>'Access-Set'!N32</f>
        <v>45463442.210000001</v>
      </c>
      <c r="T33" s="35">
        <f t="shared" si="7"/>
        <v>1</v>
      </c>
      <c r="U33" s="34">
        <f>'Access-Set'!O32</f>
        <v>45463442.210000001</v>
      </c>
      <c r="V33" s="35">
        <f t="shared" si="8"/>
        <v>1</v>
      </c>
      <c r="W33" s="34">
        <f>'Access-Set'!P32</f>
        <v>45463442.210000001</v>
      </c>
      <c r="X33" s="35">
        <f t="shared" si="9"/>
        <v>1</v>
      </c>
    </row>
    <row r="34" spans="1:24" ht="25.5" customHeight="1" x14ac:dyDescent="0.2">
      <c r="A34" s="31" t="str">
        <f>+'Access-Set'!A33</f>
        <v>12104</v>
      </c>
      <c r="B34" s="32" t="str">
        <f>+'Access-Set'!B33</f>
        <v>TRIBUNAL REGIONAL FEDERAL DA 3A. REGIAO</v>
      </c>
      <c r="C34" s="31" t="str">
        <f>CONCATENATE('Access-Set'!C33,".",'Access-Set'!D33)</f>
        <v>09.272</v>
      </c>
      <c r="D34" s="31" t="str">
        <f>CONCATENATE('Access-Set'!E33,".",'Access-Set'!G33)</f>
        <v>0089.0181</v>
      </c>
      <c r="E34" s="32" t="str">
        <f>+'Access-Set'!F33</f>
        <v>PREVIDENCIA DE INATIVOS E PENSIONISTAS DA UNIAO</v>
      </c>
      <c r="F34" s="32" t="str">
        <f>+'Access-Set'!H33</f>
        <v>APOSENTADORIAS E PENSOES - SERVIDORES CIVIS</v>
      </c>
      <c r="G34" s="31" t="str">
        <f>IF('Access-Set'!I33="1","F","S")</f>
        <v>S</v>
      </c>
      <c r="H34" s="31" t="str">
        <f>+'Access-Set'!J33</f>
        <v>0156</v>
      </c>
      <c r="I34" s="32" t="str">
        <f>+'Access-Set'!K33</f>
        <v>CONTRIBUICAO PLANO SEGURIDADE SOCIAL SERVIDOR</v>
      </c>
      <c r="J34" s="31" t="str">
        <f>+'Access-Set'!L33</f>
        <v>1</v>
      </c>
      <c r="K34" s="50"/>
      <c r="L34" s="50"/>
      <c r="M34" s="50"/>
      <c r="N34" s="50">
        <f t="shared" si="5"/>
        <v>0</v>
      </c>
      <c r="O34" s="50"/>
      <c r="P34" s="34">
        <f>'Access-Set'!M33</f>
        <v>18490226.800000001</v>
      </c>
      <c r="Q34" s="34"/>
      <c r="R34" s="34">
        <f t="shared" si="6"/>
        <v>18490226.800000001</v>
      </c>
      <c r="S34" s="34">
        <f>'Access-Set'!N33</f>
        <v>18490226.800000001</v>
      </c>
      <c r="T34" s="35">
        <f t="shared" si="7"/>
        <v>1</v>
      </c>
      <c r="U34" s="34">
        <f>'Access-Set'!O33</f>
        <v>18490226.800000001</v>
      </c>
      <c r="V34" s="35">
        <f t="shared" si="8"/>
        <v>1</v>
      </c>
      <c r="W34" s="34">
        <f>'Access-Set'!P33</f>
        <v>17999420.359999999</v>
      </c>
      <c r="X34" s="35">
        <f t="shared" si="9"/>
        <v>0.9734558994160093</v>
      </c>
    </row>
    <row r="35" spans="1:24" ht="25.5" customHeight="1" thickBot="1" x14ac:dyDescent="0.25">
      <c r="A35" s="31" t="str">
        <f>+'Access-Set'!A34</f>
        <v>12104</v>
      </c>
      <c r="B35" s="32" t="str">
        <f>+'Access-Set'!B34</f>
        <v>TRIBUNAL REGIONAL FEDERAL DA 3A. REGIAO</v>
      </c>
      <c r="C35" s="31" t="str">
        <f>CONCATENATE('Access-Set'!C34,".",'Access-Set'!D34)</f>
        <v>09.272</v>
      </c>
      <c r="D35" s="31" t="str">
        <f>CONCATENATE('Access-Set'!E34,".",'Access-Set'!G34)</f>
        <v>0089.0181</v>
      </c>
      <c r="E35" s="32" t="str">
        <f>+'Access-Set'!F34</f>
        <v>PREVIDENCIA DE INATIVOS E PENSIONISTAS DA UNIAO</v>
      </c>
      <c r="F35" s="32" t="str">
        <f>+'Access-Set'!H34</f>
        <v>APOSENTADORIAS E PENSOES - SERVIDORES CIVIS</v>
      </c>
      <c r="G35" s="31" t="str">
        <f>IF('Access-Set'!I34="1","F","S")</f>
        <v>S</v>
      </c>
      <c r="H35" s="31" t="str">
        <f>+'Access-Set'!J34</f>
        <v>0169</v>
      </c>
      <c r="I35" s="32" t="str">
        <f>+'Access-Set'!K34</f>
        <v>CONTRIB.PATRONAL P/PLANO DE SEGURID.SOC.SERV.</v>
      </c>
      <c r="J35" s="31" t="str">
        <f>+'Access-Set'!L34</f>
        <v>1</v>
      </c>
      <c r="K35" s="50"/>
      <c r="L35" s="50"/>
      <c r="M35" s="50"/>
      <c r="N35" s="50">
        <f t="shared" si="5"/>
        <v>0</v>
      </c>
      <c r="O35" s="50"/>
      <c r="P35" s="34">
        <f>'Access-Set'!M34</f>
        <v>55200000</v>
      </c>
      <c r="Q35" s="34"/>
      <c r="R35" s="34">
        <f t="shared" si="6"/>
        <v>55200000</v>
      </c>
      <c r="S35" s="34">
        <f>'Access-Set'!N34</f>
        <v>55200000</v>
      </c>
      <c r="T35" s="35">
        <f t="shared" si="7"/>
        <v>1</v>
      </c>
      <c r="U35" s="34">
        <f>'Access-Set'!O34</f>
        <v>55195528.859999999</v>
      </c>
      <c r="V35" s="35">
        <f t="shared" si="8"/>
        <v>0.99991900108695653</v>
      </c>
      <c r="W35" s="34">
        <f>'Access-Set'!P34</f>
        <v>55195528.859999999</v>
      </c>
      <c r="X35" s="35">
        <f t="shared" si="9"/>
        <v>0.99991900108695653</v>
      </c>
    </row>
    <row r="36" spans="1:24" ht="25.5" customHeight="1" thickBot="1" x14ac:dyDescent="0.25">
      <c r="A36" s="86" t="s">
        <v>113</v>
      </c>
      <c r="B36" s="87"/>
      <c r="C36" s="87"/>
      <c r="D36" s="87"/>
      <c r="E36" s="87"/>
      <c r="F36" s="87"/>
      <c r="G36" s="87"/>
      <c r="H36" s="87"/>
      <c r="I36" s="87"/>
      <c r="J36" s="88"/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52">
        <f>SUM(P10:P35)</f>
        <v>506632646.63</v>
      </c>
      <c r="Q36" s="52">
        <f>SUM(Q10:Q35)</f>
        <v>0</v>
      </c>
      <c r="R36" s="52">
        <f>SUM(R10:R35)</f>
        <v>506632646.63</v>
      </c>
      <c r="S36" s="52">
        <f>SUM(S10:S35)</f>
        <v>482334232.97999996</v>
      </c>
      <c r="T36" s="43">
        <f t="shared" si="2"/>
        <v>0.95203938433176916</v>
      </c>
      <c r="U36" s="52">
        <f>SUM(U10:U35)</f>
        <v>449323991.81999999</v>
      </c>
      <c r="V36" s="43">
        <f t="shared" si="3"/>
        <v>0.88688321767023193</v>
      </c>
      <c r="W36" s="52">
        <f>SUM(W10:W35)</f>
        <v>444432082.77999997</v>
      </c>
      <c r="X36" s="43">
        <f t="shared" si="4"/>
        <v>0.87722748570637243</v>
      </c>
    </row>
    <row r="37" spans="1:24" ht="25.5" customHeight="1" x14ac:dyDescent="0.2">
      <c r="A37" s="7" t="s">
        <v>114</v>
      </c>
      <c r="B37" s="7"/>
      <c r="C37" s="7"/>
      <c r="D37" s="7"/>
      <c r="E37" s="7"/>
      <c r="F37" s="7"/>
      <c r="G37" s="7"/>
      <c r="H37" s="8"/>
      <c r="I37" s="8"/>
      <c r="J37" s="8"/>
      <c r="K37" s="7"/>
      <c r="L37" s="7"/>
      <c r="M37" s="7"/>
      <c r="N37" s="7"/>
      <c r="O37" s="7"/>
      <c r="P37" s="7"/>
      <c r="Q37" s="7"/>
      <c r="R37" s="7"/>
      <c r="S37" s="7"/>
      <c r="T37" s="7"/>
      <c r="U37" s="45"/>
      <c r="V37" s="7"/>
      <c r="W37" s="45"/>
      <c r="X37" s="7"/>
    </row>
    <row r="38" spans="1:24" ht="25.5" customHeight="1" x14ac:dyDescent="0.2">
      <c r="A38" s="7" t="s">
        <v>115</v>
      </c>
      <c r="B38" s="53"/>
      <c r="C38" s="7"/>
      <c r="D38" s="7"/>
      <c r="E38" s="7"/>
      <c r="F38" s="7"/>
      <c r="G38" s="7"/>
      <c r="H38" s="8"/>
      <c r="I38" s="8"/>
      <c r="J38" s="8"/>
      <c r="K38" s="7"/>
      <c r="L38" s="7"/>
      <c r="M38" s="7"/>
      <c r="N38" s="7"/>
      <c r="O38" s="7"/>
      <c r="P38" s="7"/>
      <c r="Q38" s="7"/>
      <c r="R38" s="7"/>
      <c r="S38" s="7"/>
      <c r="T38" s="7"/>
      <c r="U38" s="45"/>
      <c r="V38" s="7"/>
      <c r="W38" s="45"/>
      <c r="X38" s="7"/>
    </row>
    <row r="41" spans="1:24" ht="25.5" customHeigh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 t="s">
        <v>16</v>
      </c>
      <c r="O41"/>
      <c r="P41" s="54">
        <f>SUM(P10:P35)</f>
        <v>506632646.63</v>
      </c>
      <c r="Q41" s="54"/>
      <c r="R41" s="54">
        <f>SUM(R10:R35)</f>
        <v>506632646.63</v>
      </c>
      <c r="S41" s="54">
        <f>SUM(S10:S35)</f>
        <v>482334232.97999996</v>
      </c>
      <c r="T41" s="54"/>
      <c r="U41" s="54">
        <f>SUM(U10:U35)</f>
        <v>449323991.81999999</v>
      </c>
      <c r="V41" s="54"/>
      <c r="W41" s="54">
        <f>SUM(W10:W35)</f>
        <v>444432082.77999997</v>
      </c>
      <c r="X41" s="38"/>
    </row>
    <row r="42" spans="1:24" ht="25.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 t="s">
        <v>132</v>
      </c>
      <c r="O42"/>
      <c r="P42" s="37">
        <f>'Access-Set'!M36</f>
        <v>506632646.63</v>
      </c>
      <c r="Q42" s="37"/>
      <c r="R42" s="37">
        <f>'Access-Set'!M36</f>
        <v>506632646.63</v>
      </c>
      <c r="S42" s="37">
        <f>'Access-Set'!N36</f>
        <v>482334232.97999996</v>
      </c>
      <c r="T42" s="37"/>
      <c r="U42" s="37">
        <f>'Access-Set'!O36</f>
        <v>449323991.81999999</v>
      </c>
      <c r="V42" s="37"/>
      <c r="W42" s="37">
        <f>'Access-Set'!P36</f>
        <v>444432082.77999997</v>
      </c>
      <c r="X42" s="38"/>
    </row>
    <row r="43" spans="1:24" ht="25.5" customHeigh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 t="s">
        <v>17</v>
      </c>
      <c r="O43"/>
      <c r="P43" s="37">
        <f>+P41-P42</f>
        <v>0</v>
      </c>
      <c r="Q43" s="37"/>
      <c r="R43" s="37">
        <f>+R41-R42</f>
        <v>0</v>
      </c>
      <c r="S43" s="37">
        <f>+S41-S42</f>
        <v>0</v>
      </c>
      <c r="T43" s="37"/>
      <c r="U43" s="37">
        <f>+U41-U42</f>
        <v>0</v>
      </c>
      <c r="V43" s="37"/>
      <c r="W43" s="37">
        <f>+W41-W42</f>
        <v>0</v>
      </c>
      <c r="X43" s="38"/>
    </row>
    <row r="44" spans="1:24" ht="25.5" customHeight="1" x14ac:dyDescent="0.2">
      <c r="N44" s="1" t="s">
        <v>145</v>
      </c>
      <c r="P44" s="61">
        <f>666500+505966146.63</f>
        <v>506632646.63</v>
      </c>
      <c r="Q44" s="41"/>
      <c r="R44" s="61">
        <f>666500+505966146.63</f>
        <v>506632646.63</v>
      </c>
      <c r="S44" s="41">
        <f>427497.74+481906735.24</f>
        <v>482334232.98000002</v>
      </c>
      <c r="T44" s="42"/>
      <c r="U44" s="61">
        <f>90488.17+449233503.65</f>
        <v>449323991.81999999</v>
      </c>
      <c r="W44" s="61">
        <f>444346119.88+85962.9</f>
        <v>444432082.77999997</v>
      </c>
    </row>
    <row r="45" spans="1:24" ht="25.5" customHeight="1" x14ac:dyDescent="0.2">
      <c r="P45" s="62">
        <f>P44-P41</f>
        <v>0</v>
      </c>
      <c r="R45" s="62">
        <f>R44-R41</f>
        <v>0</v>
      </c>
    </row>
  </sheetData>
  <mergeCells count="17">
    <mergeCell ref="A36:J36"/>
    <mergeCell ref="R7:R8"/>
    <mergeCell ref="S7:X7"/>
    <mergeCell ref="A8:B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24</vt:i4>
      </vt:variant>
      <vt:variant>
        <vt:lpstr>Intervalos nomeados</vt:lpstr>
      </vt:variant>
      <vt:variant>
        <vt:i4>12</vt:i4>
      </vt:variant>
    </vt:vector>
  </HeadingPairs>
  <TitlesOfParts>
    <vt:vector size="36" baseType="lpstr">
      <vt:lpstr>Jan</vt:lpstr>
      <vt:lpstr>Fev</vt:lpstr>
      <vt:lpstr>Mar</vt:lpstr>
      <vt:lpstr>Abr</vt:lpstr>
      <vt:lpstr>Mai</vt:lpstr>
      <vt:lpstr>Jun</vt:lpstr>
      <vt:lpstr>2018-07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'2018-07'!Area_de_impressao</vt:lpstr>
      <vt:lpstr>Abr!Area_de_impressao</vt:lpstr>
      <vt:lpstr>Ago!Area_de_impressao</vt:lpstr>
      <vt:lpstr>Dez!Area_de_impressao</vt:lpstr>
      <vt:lpstr>Fev!Area_de_impressao</vt:lpstr>
      <vt:lpstr>Jan!Area_de_impressao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2018-08-20T22:41:43Z</cp:lastPrinted>
  <dcterms:created xsi:type="dcterms:W3CDTF">2011-08-07T11:00:17Z</dcterms:created>
  <dcterms:modified xsi:type="dcterms:W3CDTF">2018-08-20T22:50:11Z</dcterms:modified>
</cp:coreProperties>
</file>